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REESTR_IP!$A$2:$I$7</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<sst xmlns="http://schemas.openxmlformats.org/spreadsheetml/2006/main" count="16150" uniqueCount="3883">
  <si>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</si>
  <si>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</si>
  <si>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</si>
  <si>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</si>
  <si>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</si>
  <si>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</si>
  <si>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</si>
  <si>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</si>
  <si>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</si>
  <si>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</si>
  <si>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</si>
  <si>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</si>
  <si>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</si>
  <si>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26360835</t>
  </si>
  <si>
    <t>Flag_Row_Size</t>
  </si>
  <si>
    <t>Субъект РФ</t>
  </si>
  <si>
    <t>Вологодская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</si>
  <si>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</si>
  <si>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</si>
  <si>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</si>
  <si>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</si>
  <si>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</si>
  <si>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</si>
  <si>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</si>
  <si>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</si>
  <si>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</si>
  <si>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</si>
  <si>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</si>
  <si>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</si>
  <si>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</si>
  <si>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</si>
  <si>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</si>
  <si>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</si>
  <si>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</si>
  <si>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</si>
  <si>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</si>
  <si>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</si>
  <si>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</si>
  <si>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</si>
  <si>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</si>
  <si>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</si>
  <si>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</si>
  <si>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</si>
  <si>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</si>
  <si>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</si>
  <si>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</si>
  <si>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</si>
  <si>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</si>
  <si>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</si>
  <si>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</si>
  <si>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</si>
  <si>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352531001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</si>
  <si>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</si>
  <si>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</si>
  <si>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</si>
  <si>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</si>
  <si>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</si>
  <si>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</si>
  <si>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</si>
  <si>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</si>
  <si>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</si>
  <si>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</si>
  <si>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</si>
  <si>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</si>
  <si>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</si>
  <si>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</si>
  <si>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</si>
  <si>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</si>
  <si>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</si>
  <si>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</si>
  <si>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</si>
  <si>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</si>
  <si>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</si>
  <si>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</si>
  <si>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</si>
  <si>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</si>
  <si>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</si>
  <si>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</si>
  <si>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</si>
  <si>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</si>
  <si>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</si>
  <si>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</si>
  <si>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</si>
  <si>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</si>
  <si>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</si>
  <si>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</si>
  <si>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</si>
  <si>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</si>
  <si>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</si>
  <si>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</si>
  <si>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</si>
  <si>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</si>
  <si>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</si>
  <si>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</si>
  <si>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</si>
  <si>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</si>
  <si>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</si>
  <si>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</si>
  <si>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</si>
  <si>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22</t>
  </si>
  <si>
    <t>Город Вологда</t>
  </si>
  <si>
    <t>19701000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</si>
  <si>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</si>
  <si>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</si>
  <si>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</si>
  <si>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</si>
  <si>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</si>
  <si>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</si>
  <si>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</si>
  <si>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</si>
  <si>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</si>
  <si>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</si>
  <si>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</si>
  <si>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</si>
  <si>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</si>
  <si>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</si>
  <si>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</si>
  <si>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Вологодская ТЭЦ</t>
  </si>
  <si>
    <t>diff_1</t>
  </si>
  <si>
    <t>4190072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</si>
  <si>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</si>
  <si>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</si>
  <si>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</si>
  <si>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</si>
  <si>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</si>
  <si>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</si>
  <si>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</si>
  <si>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</si>
  <si>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</si>
  <si>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</si>
  <si>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</si>
  <si>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</si>
  <si>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</si>
  <si>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</si>
  <si>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</si>
  <si>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</si>
  <si>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</si>
  <si>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</si>
  <si>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</si>
  <si>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</si>
  <si>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</si>
  <si>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</si>
  <si>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</si>
  <si>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</si>
  <si>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</si>
  <si>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</si>
  <si>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</si>
  <si>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</si>
  <si>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</si>
  <si>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</si>
  <si>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</si>
  <si>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</si>
  <si>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</si>
  <si>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</si>
  <si>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</si>
  <si>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</si>
  <si>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</si>
  <si>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</si>
  <si>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</si>
  <si>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</si>
  <si>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</si>
  <si>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</si>
  <si>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</si>
  <si>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</si>
  <si>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</si>
  <si>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</si>
  <si>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</si>
  <si>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</si>
  <si>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</si>
  <si>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</si>
  <si>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</si>
  <si>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</si>
  <si>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</si>
  <si>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</si>
  <si>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</si>
  <si>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</si>
  <si>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</si>
  <si>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</si>
  <si>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</si>
  <si>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</si>
  <si>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</si>
  <si>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</si>
  <si>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</si>
  <si>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</si>
  <si>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</si>
  <si>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</si>
  <si>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</si>
  <si>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</si>
  <si>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</si>
  <si>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</si>
  <si>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</si>
  <si>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</si>
  <si>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</si>
  <si>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</si>
  <si>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</si>
  <si>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</si>
  <si>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</si>
  <si>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</si>
  <si>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</si>
  <si>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</si>
  <si>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</si>
  <si>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</si>
  <si>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</si>
  <si>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</si>
  <si>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</si>
  <si>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</si>
  <si>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</si>
  <si>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</si>
  <si>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</si>
  <si>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</si>
  <si>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</si>
  <si>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</si>
  <si>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</si>
  <si>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</si>
  <si>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</si>
  <si>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</si>
  <si>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</si>
  <si>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</si>
  <si>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</si>
  <si>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</si>
  <si>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</si>
  <si>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</si>
  <si>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</si>
  <si>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</si>
  <si>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</si>
  <si>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</si>
  <si>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</si>
  <si>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</si>
  <si>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</si>
  <si>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</si>
  <si>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</si>
  <si>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</si>
  <si>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</si>
  <si>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</si>
  <si>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</si>
  <si>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</si>
  <si>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</si>
  <si>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</si>
  <si>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</si>
  <si>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</si>
  <si>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</si>
  <si>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</si>
  <si>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</si>
  <si>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</si>
  <si>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</si>
  <si>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</si>
  <si>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</si>
  <si>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</si>
  <si>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</si>
  <si>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</si>
  <si>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</si>
  <si>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</si>
  <si>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</si>
  <si>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</si>
  <si>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</si>
  <si>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</si>
  <si>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</si>
  <si>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</si>
  <si>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</si>
  <si>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</si>
  <si>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</si>
  <si>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</si>
  <si>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</si>
  <si>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</si>
  <si>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</si>
  <si>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</si>
  <si>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</si>
  <si>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</si>
  <si>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</si>
  <si>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</si>
  <si>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</si>
  <si>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</si>
  <si>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</si>
  <si>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</si>
  <si>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</si>
  <si>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</si>
  <si>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</si>
  <si>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</si>
  <si>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</si>
  <si>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</si>
  <si>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</si>
  <si>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</si>
  <si>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</si>
  <si>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</si>
  <si>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</si>
  <si>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</si>
  <si>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</si>
  <si>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</si>
  <si>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</si>
  <si>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</si>
  <si>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</si>
  <si>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</si>
  <si>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</si>
  <si>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</si>
  <si>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</si>
  <si>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</si>
  <si>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</si>
  <si>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</si>
  <si>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</si>
  <si>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</si>
  <si>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</si>
  <si>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</si>
  <si>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</si>
  <si>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</si>
  <si>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</si>
  <si>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</si>
  <si>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</si>
  <si>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</si>
  <si>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</si>
  <si>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</si>
  <si>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</si>
  <si>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</si>
  <si>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</si>
  <si>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</si>
  <si>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</si>
  <si>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</si>
  <si>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</si>
  <si>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</si>
  <si>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</si>
  <si>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</si>
  <si>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</si>
  <si>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</si>
  <si>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</si>
  <si>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</si>
  <si>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</si>
  <si>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</si>
  <si>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</si>
  <si>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</si>
  <si>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</si>
  <si>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</si>
  <si>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</si>
  <si>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</si>
  <si>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</si>
  <si>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</si>
  <si>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</si>
  <si>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</si>
  <si>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</si>
  <si>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</si>
  <si>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</si>
  <si>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</si>
  <si>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</si>
  <si>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</si>
  <si>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</si>
  <si>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</si>
  <si>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</si>
  <si>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</si>
  <si>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</si>
  <si>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</si>
  <si>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</si>
  <si>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</si>
  <si>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</si>
  <si>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</si>
  <si>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</si>
  <si>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</si>
  <si>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</si>
  <si>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</si>
  <si>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</si>
  <si>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</si>
  <si>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</si>
  <si>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</si>
  <si>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</si>
  <si>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</si>
  <si>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</si>
  <si>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</si>
  <si>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</si>
  <si>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</si>
  <si>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</si>
  <si>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</si>
  <si>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</si>
  <si>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</si>
  <si>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</si>
  <si>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</si>
  <si>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</si>
  <si>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</si>
  <si>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</si>
  <si>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</si>
  <si>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</si>
  <si>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</si>
  <si>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</si>
  <si>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</si>
  <si>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</si>
  <si>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</si>
  <si>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</si>
  <si>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</si>
  <si>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</si>
  <si>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</si>
  <si>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</si>
  <si>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</si>
  <si>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</si>
  <si>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</si>
  <si>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</si>
  <si>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</si>
  <si>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</si>
  <si>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</si>
  <si>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</si>
  <si>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</si>
  <si>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</si>
  <si>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</si>
  <si>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</si>
  <si>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</si>
  <si>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</si>
  <si>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</si>
  <si>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</si>
  <si>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</si>
  <si>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</si>
  <si>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</si>
  <si>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</si>
  <si>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</si>
  <si>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</si>
  <si>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</si>
  <si>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</si>
  <si>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</si>
  <si>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</si>
  <si>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</si>
  <si>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</si>
  <si>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</si>
  <si>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</si>
  <si>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</si>
  <si>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</si>
  <si>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</si>
  <si>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</si>
  <si>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</si>
  <si>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</si>
  <si>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</si>
  <si>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</si>
  <si>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</si>
  <si>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</si>
  <si>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</si>
  <si>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</si>
  <si>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</si>
  <si>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</si>
  <si>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</si>
  <si>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</si>
  <si>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</si>
  <si>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</si>
  <si>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</si>
  <si>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</si>
  <si>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</si>
  <si>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</si>
  <si>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</si>
  <si>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</si>
  <si>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</si>
  <si>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</si>
  <si>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</si>
  <si>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</si>
  <si>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</si>
  <si>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</si>
  <si>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</si>
  <si>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</si>
  <si>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</si>
  <si>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</si>
  <si>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</si>
  <si>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</si>
  <si>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</si>
  <si>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</si>
  <si>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</si>
  <si>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</si>
  <si>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</si>
  <si>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</si>
  <si>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</si>
  <si>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</si>
  <si>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</si>
  <si>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</si>
  <si>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</si>
  <si>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</si>
  <si>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</si>
  <si>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</si>
  <si>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</si>
  <si>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</si>
  <si>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</si>
  <si>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</si>
  <si>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</si>
  <si>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</si>
  <si>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</si>
  <si>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</si>
  <si>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</si>
  <si>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</si>
  <si>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</si>
  <si>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</si>
  <si>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</si>
  <si>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</si>
  <si>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</si>
  <si>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</si>
  <si>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</si>
  <si>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</si>
  <si>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</si>
  <si>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</si>
  <si>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</si>
  <si>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</si>
  <si>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</si>
  <si>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</si>
  <si>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</si>
  <si>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</si>
  <si>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</si>
  <si>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</si>
  <si>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</si>
  <si>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</si>
  <si>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</si>
  <si>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</si>
  <si>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</si>
  <si>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</si>
  <si>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</si>
  <si>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</si>
  <si>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</si>
  <si>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</si>
  <si>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</si>
  <si>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</si>
  <si>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</si>
  <si>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</si>
  <si>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</si>
  <si>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</si>
  <si>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</si>
  <si>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</si>
  <si>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</si>
  <si>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</si>
  <si>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</si>
  <si>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</si>
  <si>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</si>
  <si>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</si>
  <si>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</si>
  <si>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</si>
  <si>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</si>
  <si>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</si>
  <si>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</si>
  <si>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</si>
  <si>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</si>
  <si>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</si>
  <si>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</si>
  <si>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</si>
  <si>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</si>
  <si>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</si>
  <si>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</si>
  <si>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</si>
  <si>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</si>
  <si>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</si>
  <si>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</si>
  <si>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</si>
  <si>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</si>
  <si>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</si>
  <si>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</si>
  <si>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</si>
  <si>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</si>
  <si>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</si>
  <si>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</si>
  <si>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</si>
  <si>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</si>
  <si>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</si>
  <si>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</si>
  <si>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</si>
  <si>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</si>
  <si>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</si>
  <si>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</si>
  <si>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</si>
  <si>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</si>
  <si>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</si>
  <si>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</si>
  <si>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</si>
  <si>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</si>
  <si>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</si>
  <si>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</si>
  <si>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</si>
  <si>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</si>
  <si>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</si>
  <si>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</si>
  <si>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</si>
  <si>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</si>
  <si>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</si>
  <si>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</si>
  <si>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</si>
  <si>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</si>
  <si>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</si>
  <si>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</si>
  <si>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</si>
  <si>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</si>
  <si>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</si>
  <si>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</si>
  <si>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</si>
  <si>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</si>
  <si>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</si>
  <si>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</si>
  <si>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</si>
  <si>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</si>
  <si>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</si>
  <si>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</si>
  <si>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</si>
  <si>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</si>
  <si>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</si>
  <si>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</si>
  <si>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</si>
  <si>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</si>
  <si>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</si>
  <si>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</si>
  <si>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</si>
  <si>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</si>
  <si>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</si>
  <si>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</si>
  <si>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</si>
  <si>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</si>
  <si>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</si>
  <si>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</si>
  <si>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</si>
  <si>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</si>
  <si>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</si>
  <si>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</si>
  <si>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</si>
  <si>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</si>
  <si>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</si>
  <si>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</si>
  <si>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</si>
  <si>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</si>
  <si>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</si>
  <si>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</si>
  <si>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</si>
  <si>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</si>
  <si>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</si>
  <si>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</si>
  <si>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</si>
  <si>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</si>
  <si>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</si>
  <si>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</si>
  <si>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</si>
  <si>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</si>
  <si>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</si>
  <si>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</si>
  <si>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</si>
  <si>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</si>
  <si>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</si>
  <si>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</si>
  <si>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</si>
  <si>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</si>
  <si>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</si>
  <si>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</si>
  <si>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</si>
  <si>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</si>
  <si>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</si>
  <si>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</si>
  <si>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</si>
  <si>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</si>
  <si>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</si>
  <si>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</si>
  <si>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</si>
  <si>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</si>
  <si>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</si>
  <si>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</si>
  <si>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</si>
  <si>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</si>
  <si>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</si>
  <si>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</si>
  <si>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</si>
  <si>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</si>
  <si>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</si>
  <si>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</si>
  <si>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</si>
  <si>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</si>
  <si>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</si>
  <si>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</si>
  <si>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</si>
  <si>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</si>
  <si>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</si>
  <si>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</si>
  <si>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</si>
  <si>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</si>
  <si>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</si>
  <si>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</si>
  <si>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</si>
  <si>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</si>
  <si>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</si>
  <si>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</si>
  <si>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</si>
  <si>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</si>
  <si>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</si>
  <si>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</si>
  <si>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</si>
  <si>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</si>
  <si>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</si>
  <si>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</si>
  <si>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</si>
  <si>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</si>
  <si>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</si>
  <si>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</si>
  <si>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</si>
  <si>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</si>
  <si>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</si>
  <si>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</si>
  <si>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</si>
  <si>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</si>
  <si>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</si>
  <si>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</si>
  <si>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</si>
  <si>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</si>
  <si>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</si>
  <si>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</si>
  <si>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</si>
  <si>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</si>
  <si>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</si>
  <si>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</si>
  <si>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</si>
  <si>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</si>
  <si>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</si>
  <si>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</si>
  <si>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</si>
  <si>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</si>
  <si>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</si>
  <si>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</si>
  <si>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</si>
  <si>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</si>
  <si>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</si>
  <si>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</si>
  <si>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</si>
  <si>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</si>
  <si>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</si>
  <si>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</si>
  <si>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</si>
  <si>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</si>
  <si>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</si>
  <si>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</si>
  <si>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</si>
  <si>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</si>
  <si>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</si>
  <si>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</si>
  <si>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</si>
  <si>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</si>
  <si>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</si>
  <si>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</si>
  <si>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</si>
  <si>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</si>
  <si>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</si>
  <si>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</si>
  <si>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</si>
  <si>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</si>
  <si>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</si>
  <si>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</si>
  <si>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</si>
  <si>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</si>
  <si>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</si>
  <si>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</si>
  <si>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</si>
  <si>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</si>
  <si>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</si>
  <si>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</si>
  <si>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</si>
  <si>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</si>
  <si>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</si>
  <si>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</si>
  <si>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</si>
  <si>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</si>
  <si>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</si>
  <si>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</si>
  <si>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</si>
  <si>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</si>
  <si>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</si>
  <si>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</si>
  <si>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</si>
  <si>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</si>
  <si>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</si>
  <si>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</si>
  <si>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</si>
  <si>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</si>
  <si>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</si>
  <si>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</si>
  <si>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</si>
  <si>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</si>
  <si>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</si>
  <si>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</si>
  <si>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</si>
  <si>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</si>
  <si>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</si>
  <si>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</si>
  <si>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</si>
  <si>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</si>
  <si>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</si>
  <si>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</si>
  <si>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</si>
  <si>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</si>
  <si>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</si>
  <si>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</si>
  <si>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</si>
  <si>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</si>
  <si>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</si>
  <si>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</si>
  <si>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</si>
  <si>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</si>
  <si>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</si>
  <si>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</si>
  <si>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</si>
  <si>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</si>
  <si>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</si>
  <si>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</si>
  <si>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</si>
  <si>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</si>
  <si>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</si>
  <si>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</si>
  <si>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</si>
  <si>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</si>
  <si>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</si>
  <si>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</si>
  <si>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</si>
  <si>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</si>
  <si>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</si>
  <si>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</si>
  <si>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</si>
  <si>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</si>
  <si>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</si>
  <si>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</si>
  <si>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</si>
  <si>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</si>
  <si>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</si>
  <si>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</si>
  <si>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</si>
  <si>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</si>
  <si>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</si>
  <si>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</si>
  <si>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</si>
  <si>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</si>
  <si>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</si>
  <si>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</si>
  <si>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</si>
  <si>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</si>
  <si>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</si>
  <si>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</si>
  <si>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</si>
  <si>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</si>
  <si>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</si>
  <si>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</si>
  <si>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</si>
  <si>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</si>
  <si>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</si>
  <si>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</si>
  <si>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</si>
  <si>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</si>
  <si>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</si>
  <si>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</si>
  <si>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</si>
  <si>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</si>
  <si>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</si>
  <si>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</si>
  <si>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</si>
  <si>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</si>
  <si>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</si>
  <si>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</si>
  <si>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</si>
  <si>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</si>
  <si>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</si>
  <si>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</si>
  <si>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</si>
  <si>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</si>
  <si>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</si>
  <si>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</si>
  <si>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</si>
  <si>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</si>
  <si>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</si>
  <si>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</si>
  <si>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</si>
  <si>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</si>
  <si>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</si>
  <si>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</si>
  <si>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</si>
  <si>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</si>
  <si>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</si>
  <si>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</si>
  <si>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</si>
  <si>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</si>
  <si>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</si>
  <si>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</si>
  <si>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</si>
  <si>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</si>
  <si>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</si>
  <si>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</si>
  <si>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</si>
  <si>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</si>
  <si>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</si>
  <si>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</si>
  <si>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</si>
  <si>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</si>
  <si>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</si>
  <si>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</si>
  <si>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</si>
  <si>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</si>
  <si>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</si>
  <si>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</si>
  <si>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</si>
  <si>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</si>
  <si>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</si>
  <si>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</si>
  <si>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</si>
  <si>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</si>
  <si>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</si>
  <si>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</si>
  <si>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</si>
  <si>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</si>
  <si>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</si>
  <si>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</si>
  <si>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</si>
  <si>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</si>
  <si>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</si>
  <si>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</si>
  <si>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</si>
  <si>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</si>
  <si>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</si>
  <si>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</si>
  <si>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</si>
  <si>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</si>
  <si>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</si>
  <si>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</si>
  <si>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</si>
  <si>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</si>
  <si>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</si>
  <si>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</si>
  <si>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</si>
  <si>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</si>
  <si>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</si>
  <si>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</si>
  <si>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</si>
  <si>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</si>
  <si>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</si>
  <si>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</si>
  <si>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</si>
  <si>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</si>
  <si>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</si>
  <si>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</si>
  <si>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</si>
  <si>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</si>
  <si>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</si>
  <si>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</si>
  <si>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</si>
  <si>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</si>
  <si>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</si>
  <si>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</si>
  <si>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</si>
  <si>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</si>
  <si>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</si>
  <si>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</si>
  <si>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</si>
  <si>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</si>
  <si>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</si>
  <si>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</si>
  <si>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</si>
  <si>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</si>
  <si>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</si>
  <si>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</si>
  <si>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</si>
  <si>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</si>
  <si>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</si>
  <si>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</si>
  <si>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</si>
  <si>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</si>
  <si>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</si>
  <si>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</si>
  <si>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</si>
  <si>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</si>
  <si>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</si>
  <si>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</si>
  <si>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</si>
  <si>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</si>
  <si>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</si>
  <si>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</si>
  <si>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</si>
  <si>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</si>
  <si>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</si>
  <si>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</si>
  <si>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</si>
  <si>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</si>
  <si>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</si>
  <si>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</si>
  <si>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</si>
  <si>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</si>
  <si>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</si>
  <si>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</si>
  <si>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</si>
  <si>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</si>
  <si>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</si>
  <si>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</si>
  <si>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</si>
  <si>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</si>
  <si>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</si>
  <si>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</si>
  <si>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</si>
  <si>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</si>
  <si>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</si>
  <si>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</si>
  <si>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</si>
  <si>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</si>
  <si>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</si>
  <si>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</si>
  <si>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</si>
  <si>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</si>
  <si>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</si>
  <si>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</si>
  <si>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</si>
  <si>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</si>
  <si>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</si>
  <si>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</si>
  <si>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</si>
  <si>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</si>
  <si>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</si>
  <si>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</si>
  <si>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</si>
  <si>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</si>
  <si>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</si>
  <si>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</si>
  <si>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</si>
  <si>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</si>
  <si>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</si>
  <si>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</si>
  <si>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</si>
  <si>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</si>
  <si>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</si>
  <si>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</si>
  <si>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</si>
  <si>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</si>
  <si>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</si>
  <si>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</si>
  <si>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</si>
  <si>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</si>
  <si>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</si>
  <si>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</si>
  <si>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</si>
  <si>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</si>
  <si>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</si>
  <si>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</si>
  <si>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</si>
  <si>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</si>
  <si>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</si>
  <si>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</si>
  <si>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</si>
  <si>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</si>
  <si>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</si>
  <si>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</si>
  <si>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</si>
  <si>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</si>
  <si>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</si>
  <si>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</si>
  <si>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</si>
  <si>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</si>
  <si>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</si>
  <si>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</si>
  <si>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</si>
  <si>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</si>
  <si>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</si>
  <si>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</si>
  <si>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</si>
  <si>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</si>
  <si>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</si>
  <si>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</si>
  <si>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</si>
  <si>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</si>
  <si>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</si>
  <si>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</si>
  <si>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</si>
  <si>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</si>
  <si>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</si>
  <si>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</si>
  <si>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</si>
  <si>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</si>
  <si>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</si>
  <si>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</si>
  <si>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</si>
  <si>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</si>
  <si>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</si>
  <si>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</si>
  <si>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</si>
  <si>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</si>
  <si>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</si>
  <si>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</si>
  <si>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</si>
  <si>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</si>
  <si>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</si>
  <si>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</si>
  <si>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</si>
  <si>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</si>
  <si>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</si>
  <si>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</si>
  <si>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</si>
  <si>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</si>
  <si>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</si>
  <si>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</si>
  <si>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</si>
  <si>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</si>
  <si>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</si>
  <si>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</si>
  <si>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</si>
  <si>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</si>
  <si>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</si>
  <si>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</si>
  <si>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</si>
  <si>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</si>
  <si>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</si>
  <si>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</si>
  <si>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</si>
  <si>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</si>
  <si>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</si>
  <si>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</si>
  <si>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</si>
  <si>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</si>
  <si>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</si>
  <si>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</si>
  <si>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</si>
  <si>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</si>
  <si>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</si>
  <si>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</si>
  <si>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</si>
  <si>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</si>
  <si>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</si>
  <si>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</si>
  <si>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</si>
  <si>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</si>
  <si>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</si>
  <si>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</si>
  <si>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</si>
  <si>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</si>
  <si>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</si>
  <si>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</si>
  <si>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</si>
  <si>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</si>
  <si>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</si>
  <si>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</si>
  <si>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</si>
  <si>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</si>
  <si>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</si>
  <si>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</si>
  <si>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</si>
  <si>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</si>
  <si>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</si>
  <si>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</si>
  <si>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</si>
  <si>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</si>
  <si>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</si>
  <si>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</si>
  <si>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</si>
  <si>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</si>
  <si>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</si>
  <si>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</si>
  <si>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</si>
  <si>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</si>
  <si>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</si>
  <si>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</si>
  <si>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</si>
  <si>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</si>
  <si>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</si>
  <si>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</si>
  <si>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</si>
  <si>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</si>
  <si>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</si>
  <si>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</si>
  <si>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</si>
  <si>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</si>
  <si>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</si>
  <si>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</si>
  <si>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</si>
  <si>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</si>
  <si>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</si>
  <si>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</si>
  <si>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</si>
  <si>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</si>
  <si>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</si>
  <si>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</si>
  <si>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</si>
  <si>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</si>
  <si>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</si>
  <si>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</si>
  <si>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</si>
  <si>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</si>
  <si>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</si>
  <si>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</si>
  <si>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</si>
  <si>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</si>
  <si>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</si>
  <si>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</si>
  <si>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</si>
  <si>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</si>
  <si>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</si>
  <si>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</si>
  <si>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</si>
  <si>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</si>
  <si>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</si>
  <si>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</si>
  <si>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</si>
  <si>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</si>
  <si>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</si>
  <si>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</si>
  <si>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</si>
  <si>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</si>
  <si>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</si>
  <si>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</si>
  <si>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</si>
  <si>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</si>
  <si>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</si>
  <si>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</si>
  <si>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</si>
  <si>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</si>
  <si>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</si>
  <si>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</si>
  <si>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</si>
  <si>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</si>
  <si>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</si>
  <si>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</si>
  <si>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</si>
  <si>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</si>
  <si>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</si>
  <si>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</si>
  <si>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</si>
  <si>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</si>
  <si>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</si>
  <si>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</si>
  <si>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</si>
  <si>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</si>
  <si>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</si>
  <si>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</si>
  <si>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</si>
  <si>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</si>
  <si>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</si>
  <si>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</si>
  <si>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</si>
  <si>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</si>
  <si>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</si>
  <si>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</si>
  <si>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</si>
  <si>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</si>
  <si>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</si>
  <si>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</si>
  <si>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</si>
  <si>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</si>
  <si>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</si>
  <si>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</si>
  <si>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</si>
  <si>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</si>
  <si>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</si>
  <si>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</si>
  <si>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</si>
  <si>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</si>
  <si>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</si>
  <si>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</si>
  <si>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</si>
  <si>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</si>
  <si>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</si>
  <si>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</si>
  <si>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</si>
  <si>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</si>
  <si>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</si>
  <si>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</si>
  <si>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</si>
  <si>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</si>
  <si>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</si>
  <si>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</si>
  <si>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</si>
  <si>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</si>
  <si>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</si>
  <si>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</si>
  <si>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</si>
  <si>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</si>
  <si>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</si>
  <si>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</si>
  <si>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</si>
  <si>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</si>
  <si>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</si>
  <si>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</si>
  <si>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</si>
  <si>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</si>
  <si>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</si>
  <si>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</si>
  <si>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</si>
  <si>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</si>
  <si>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</si>
  <si>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</si>
  <si>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</si>
  <si>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</si>
  <si>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</si>
  <si>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</si>
  <si>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</si>
  <si>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</si>
  <si>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</si>
  <si>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</si>
  <si>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</si>
  <si>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</si>
  <si>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</si>
  <si>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</si>
  <si>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</si>
  <si>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</si>
  <si>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</si>
  <si>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</si>
  <si>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</si>
  <si>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</si>
  <si>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</si>
  <si>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</si>
  <si>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</si>
  <si>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</si>
  <si>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</si>
  <si>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</si>
  <si>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</si>
  <si>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</si>
  <si>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</si>
  <si>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</si>
  <si>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</si>
  <si>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</si>
  <si>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</si>
  <si>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</si>
  <si>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</si>
  <si>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</si>
  <si>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</si>
  <si>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</si>
  <si>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</si>
  <si>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</si>
  <si>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</si>
  <si>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</si>
  <si>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</si>
  <si>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</si>
  <si>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</si>
  <si>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</si>
  <si>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</si>
  <si>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</si>
  <si>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</si>
  <si>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</si>
  <si>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</si>
  <si>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</si>
  <si>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</si>
  <si>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</si>
  <si>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</si>
  <si>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</si>
  <si>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</si>
  <si>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</si>
  <si>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</si>
  <si>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</si>
  <si>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</si>
  <si>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</si>
  <si>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</si>
  <si>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</si>
  <si>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</si>
  <si>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</si>
  <si>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</si>
  <si>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</si>
  <si>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</si>
  <si>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</si>
  <si>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</si>
  <si>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</si>
  <si>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</si>
  <si>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</si>
  <si>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</si>
  <si>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</si>
  <si>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</si>
  <si>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</si>
  <si>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</si>
  <si>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</si>
  <si>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</si>
  <si>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</si>
  <si>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</si>
  <si>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</si>
  <si>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</si>
  <si>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</si>
  <si>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</si>
  <si>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</si>
  <si>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</si>
  <si>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</si>
  <si>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</si>
  <si>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</si>
  <si>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</si>
  <si>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</si>
  <si>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</si>
  <si>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</si>
  <si>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</si>
  <si>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</si>
  <si>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</si>
  <si>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</si>
  <si>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</si>
  <si>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</si>
  <si>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</si>
  <si>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</si>
  <si>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</si>
  <si>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</si>
  <si>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</si>
  <si>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</si>
  <si>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</si>
  <si>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</si>
  <si>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</si>
  <si>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</si>
  <si>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</si>
  <si>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</si>
  <si>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</si>
  <si>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</si>
  <si>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</si>
  <si>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</si>
  <si>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</si>
  <si>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</si>
  <si>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</si>
  <si>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</si>
  <si>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</si>
  <si>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</si>
  <si>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</si>
  <si>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</si>
  <si>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</si>
  <si>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</si>
  <si>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</si>
  <si>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</si>
  <si>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</si>
  <si>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</si>
  <si>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</si>
  <si>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</si>
  <si>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</si>
  <si>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</si>
  <si>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</si>
  <si>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</si>
  <si>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</si>
  <si>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</si>
  <si>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</si>
  <si>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</si>
  <si>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</si>
  <si>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</si>
  <si>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</si>
  <si>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</si>
  <si>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</si>
  <si>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</si>
  <si>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</si>
  <si>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</si>
  <si>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</si>
  <si>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</si>
  <si>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</si>
  <si>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</si>
  <si>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</si>
  <si>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</si>
  <si>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</si>
  <si>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</si>
  <si>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</si>
  <si>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</si>
  <si>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</si>
  <si>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</si>
  <si>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</si>
  <si>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</si>
  <si>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</si>
  <si>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</si>
  <si>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</si>
  <si>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</si>
  <si>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</si>
  <si>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</si>
  <si>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</si>
  <si>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</si>
  <si>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</si>
  <si>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</si>
  <si>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</si>
  <si>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</si>
  <si>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</si>
  <si>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</si>
  <si>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</si>
  <si>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</si>
  <si>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</si>
  <si>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</si>
  <si>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</si>
  <si>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</si>
  <si>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</si>
  <si>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</si>
  <si>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</si>
  <si>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</si>
  <si>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</si>
  <si>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</si>
  <si>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</si>
  <si>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</si>
  <si>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</si>
  <si>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</si>
  <si>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</si>
  <si>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</si>
  <si>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</si>
  <si>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</si>
  <si>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</si>
  <si>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</si>
  <si>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</si>
  <si>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</si>
  <si>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</si>
  <si>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</si>
  <si>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</si>
  <si>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</si>
  <si>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</si>
  <si>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</si>
  <si>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</si>
  <si>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</si>
  <si>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</si>
  <si>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</si>
  <si>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</si>
  <si>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</si>
  <si>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</si>
  <si>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</si>
  <si>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</si>
  <si>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</si>
  <si>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</si>
  <si>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</si>
  <si>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</si>
  <si>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</si>
  <si>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</si>
  <si>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</si>
  <si>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</si>
  <si>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</si>
  <si>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</si>
  <si>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</si>
  <si>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</si>
  <si>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</si>
  <si>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</si>
  <si>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</si>
  <si>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</si>
  <si>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</si>
  <si>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</si>
  <si>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</si>
  <si>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</si>
  <si>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</si>
  <si>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</si>
  <si>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</si>
  <si>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</si>
  <si>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</si>
  <si>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</si>
  <si>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</si>
  <si>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</si>
  <si>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</si>
  <si>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</si>
  <si>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</si>
  <si>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</si>
  <si>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</si>
  <si>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</si>
  <si>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</si>
  <si>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</si>
  <si>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</si>
  <si>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</si>
  <si>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</si>
  <si>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</si>
  <si>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</si>
  <si>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</si>
  <si>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</si>
  <si>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</si>
  <si>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</si>
  <si>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</si>
  <si>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</si>
  <si>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</si>
  <si>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</si>
  <si>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</si>
  <si>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</si>
  <si>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</si>
  <si>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</si>
  <si>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</si>
  <si>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</si>
  <si>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</si>
  <si>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</si>
  <si>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</si>
  <si>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</si>
  <si>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</si>
  <si>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</si>
  <si>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</si>
  <si>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</si>
  <si>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</si>
  <si>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</si>
  <si>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</si>
  <si>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</si>
  <si>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</si>
  <si>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</si>
  <si>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</si>
  <si>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</si>
  <si>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</si>
  <si>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</si>
  <si>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</si>
  <si>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</si>
  <si>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</si>
  <si>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</si>
  <si>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</si>
  <si>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</si>
  <si>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</si>
  <si>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</si>
  <si>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</si>
  <si>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</si>
  <si>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</si>
  <si>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</si>
  <si>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</si>
  <si>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</si>
  <si>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</si>
  <si>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</si>
  <si>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</si>
  <si>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</si>
  <si>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</si>
  <si>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</si>
  <si>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</si>
  <si>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</si>
  <si>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</si>
  <si>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</si>
  <si>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</si>
  <si>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</si>
  <si>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</si>
  <si>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</si>
  <si>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</si>
  <si>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</si>
  <si>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</si>
  <si>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</si>
  <si>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</si>
  <si>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</si>
  <si>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</si>
  <si>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</si>
  <si>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</si>
  <si>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</si>
  <si>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</si>
  <si>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</si>
  <si>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</si>
  <si>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</si>
  <si>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</si>
  <si>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</si>
  <si>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</si>
  <si>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</si>
  <si>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</si>
  <si>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</si>
  <si>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</si>
  <si>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</si>
  <si>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</si>
  <si>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</si>
  <si>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</si>
  <si>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</si>
  <si>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</si>
  <si>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</si>
  <si>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</si>
  <si>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</si>
  <si>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</si>
  <si>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</si>
  <si>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</si>
  <si>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</si>
  <si>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</si>
  <si>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</si>
  <si>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</si>
  <si>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</si>
  <si>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</si>
  <si>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</si>
  <si>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</si>
  <si>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</si>
  <si>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</si>
  <si>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</si>
  <si>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</si>
  <si>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</si>
  <si>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</si>
  <si>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</si>
  <si>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</si>
  <si>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</si>
  <si>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</si>
  <si>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</si>
  <si>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</si>
  <si>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</si>
  <si>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</si>
  <si>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</si>
  <si>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</si>
  <si>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</si>
  <si>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</si>
  <si>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</si>
  <si>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</si>
  <si>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</si>
  <si>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</si>
  <si>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</si>
  <si>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</si>
  <si>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</si>
  <si>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</si>
  <si>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</si>
  <si>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</si>
  <si>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</si>
  <si>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</si>
  <si>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</si>
  <si>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</si>
  <si>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</si>
  <si>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</si>
  <si>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</si>
  <si>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</si>
  <si>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</si>
  <si>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</si>
  <si>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</si>
  <si>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</si>
  <si>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</si>
  <si>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</si>
  <si>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</si>
  <si>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</si>
  <si>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</si>
  <si>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</si>
  <si>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</si>
  <si>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</si>
  <si>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</si>
  <si>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</si>
  <si>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</si>
  <si>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</si>
  <si>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</si>
  <si>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</si>
  <si>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</si>
  <si>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</si>
  <si>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</si>
  <si>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</si>
  <si>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</si>
  <si>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</si>
  <si>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</si>
  <si>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</si>
  <si>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</si>
  <si>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</si>
  <si>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</si>
  <si>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</si>
  <si>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</si>
  <si>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</si>
  <si>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</si>
  <si>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</si>
  <si>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</si>
  <si>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</si>
  <si>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</si>
  <si>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</si>
  <si>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</si>
  <si>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</si>
  <si>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</si>
  <si>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</si>
  <si>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</si>
  <si>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</si>
  <si>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</si>
  <si>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</si>
  <si>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</si>
  <si>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</si>
  <si>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</si>
  <si>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</si>
  <si>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</si>
  <si>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</si>
  <si>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</si>
  <si>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</si>
  <si>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</si>
  <si>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</si>
  <si>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</si>
  <si>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</si>
  <si>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</si>
  <si>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</si>
  <si>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</si>
  <si>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</si>
  <si>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</si>
  <si>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</si>
  <si>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</si>
  <si>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</si>
  <si>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</si>
  <si>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</si>
  <si>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</si>
  <si>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</si>
  <si>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</si>
  <si>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</si>
  <si>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</si>
  <si>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</si>
  <si>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</si>
  <si>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</si>
  <si>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</si>
  <si>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</si>
  <si>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</si>
  <si>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</si>
  <si>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</si>
  <si>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</si>
  <si>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</si>
  <si>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</si>
  <si>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</si>
  <si>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</si>
  <si>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</si>
  <si>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</si>
  <si>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</si>
  <si>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</si>
  <si>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</si>
  <si>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</si>
  <si>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</si>
  <si>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</si>
  <si>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</si>
  <si>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</si>
  <si>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</si>
  <si>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</si>
  <si>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</si>
  <si>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</si>
  <si>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</si>
  <si>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</si>
  <si>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</si>
  <si>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</si>
  <si>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</si>
  <si>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</si>
  <si>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</si>
  <si>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</si>
  <si>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</si>
  <si>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</si>
  <si>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</si>
  <si>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</si>
  <si>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</si>
  <si>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</si>
  <si>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</si>
  <si>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</si>
  <si>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</si>
  <si>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</si>
  <si>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</si>
  <si>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</si>
  <si>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</si>
  <si>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</si>
  <si>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</si>
  <si>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</si>
  <si>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</si>
  <si>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</si>
  <si>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</si>
  <si>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</si>
  <si>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</si>
  <si>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</si>
  <si>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</si>
  <si>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</si>
  <si>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</si>
  <si>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</si>
  <si>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</si>
  <si>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</si>
  <si>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</si>
  <si>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</si>
  <si>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</si>
  <si>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</si>
  <si>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</si>
  <si>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</si>
  <si>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</si>
  <si>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</si>
  <si>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</si>
  <si>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</si>
  <si>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</si>
  <si>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</si>
  <si>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</si>
  <si>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</si>
  <si>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</si>
  <si>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</si>
  <si>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</si>
  <si>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</si>
  <si>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</si>
  <si>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</si>
  <si>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</si>
  <si>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</si>
  <si>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</si>
  <si>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</si>
  <si>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</si>
  <si>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</si>
  <si>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</si>
  <si>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</si>
  <si>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</si>
  <si>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</si>
  <si>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</si>
  <si>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</si>
  <si>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</si>
  <si>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</si>
  <si>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</si>
  <si>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</si>
  <si>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</si>
  <si>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</si>
  <si>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</si>
  <si>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</si>
  <si>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</si>
  <si>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</si>
  <si>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</si>
  <si>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</si>
  <si>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</si>
  <si>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</si>
  <si>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</si>
  <si>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</si>
  <si>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</si>
  <si>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</si>
  <si>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</si>
  <si>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</si>
  <si>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</si>
  <si>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</si>
  <si>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</si>
  <si>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</si>
  <si>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</si>
  <si>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</si>
  <si>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</si>
  <si>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</si>
  <si>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</si>
  <si>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</si>
  <si>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</si>
  <si>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</si>
  <si>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</si>
  <si>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</si>
  <si>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</si>
  <si>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</si>
  <si>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</si>
  <si>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</si>
  <si>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</si>
  <si>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</si>
  <si>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</si>
  <si>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</si>
  <si>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</si>
  <si>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</si>
  <si>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</si>
  <si>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</si>
  <si>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</si>
  <si>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</si>
  <si>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</si>
  <si>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</si>
  <si>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</si>
  <si>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</si>
  <si>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</si>
  <si>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</si>
  <si>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</si>
  <si>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</si>
  <si>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</si>
  <si>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</si>
  <si>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</si>
  <si>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</si>
  <si>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</si>
  <si>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</si>
  <si>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</si>
  <si>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</si>
  <si>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</si>
  <si>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</si>
  <si>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</si>
  <si>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</si>
  <si>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</si>
  <si>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</si>
  <si>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</si>
  <si>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</si>
  <si>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</si>
  <si>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</si>
  <si>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</si>
  <si>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</si>
  <si>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</si>
  <si>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</si>
  <si>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</si>
  <si>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</si>
  <si>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</si>
  <si>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</si>
  <si>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</si>
  <si>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</si>
  <si>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</si>
  <si>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</si>
  <si>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</si>
  <si>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</si>
  <si>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</si>
  <si>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</si>
  <si>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</si>
  <si>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</si>
  <si>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</si>
  <si>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</si>
  <si>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</si>
  <si>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</si>
  <si>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</si>
  <si>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</si>
  <si>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</si>
  <si>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</si>
  <si>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</si>
  <si>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</si>
  <si>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</si>
  <si>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</si>
  <si>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</si>
  <si>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</si>
  <si>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</si>
  <si>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</si>
  <si>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</si>
  <si>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</si>
  <si>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</si>
  <si>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</si>
  <si>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</si>
  <si>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</si>
  <si>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</si>
  <si>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</si>
  <si>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</si>
  <si>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</si>
  <si>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</si>
  <si>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</si>
  <si>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</si>
  <si>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</si>
  <si>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</si>
  <si>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</si>
  <si>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</si>
  <si>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</si>
  <si>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</si>
  <si>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</si>
  <si>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</si>
  <si>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</si>
  <si>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</si>
  <si>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</si>
  <si>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</si>
  <si>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</si>
  <si>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</si>
  <si>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</si>
  <si>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</si>
  <si>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</si>
  <si>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</si>
  <si>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</si>
  <si>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</si>
  <si>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</si>
  <si>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</si>
  <si>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</si>
  <si>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</si>
  <si>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</si>
  <si>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</si>
  <si>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</si>
  <si>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</si>
  <si>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</si>
  <si>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</si>
  <si>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</si>
  <si>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</si>
  <si>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</si>
  <si>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</si>
  <si>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</si>
  <si>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</si>
  <si>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</si>
  <si>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</si>
  <si>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</si>
  <si>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</si>
  <si>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</si>
  <si>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</si>
  <si>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</si>
  <si>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</si>
  <si>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</si>
  <si>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</si>
  <si>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</si>
  <si>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</si>
  <si>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</si>
  <si>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</si>
  <si>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</si>
  <si>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</si>
  <si>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</si>
  <si>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</si>
  <si>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</si>
  <si>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</si>
  <si>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</si>
  <si>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</si>
  <si>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</si>
  <si>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</si>
  <si>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</si>
  <si>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</si>
  <si>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</si>
  <si>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</si>
  <si>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</si>
  <si>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</si>
  <si>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</si>
  <si>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</si>
  <si>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</si>
  <si>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</si>
  <si>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</si>
  <si>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</si>
  <si>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</si>
  <si>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</si>
  <si>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</si>
  <si>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</si>
  <si>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</si>
  <si>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</si>
  <si>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</si>
  <si>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</si>
  <si>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</si>
  <si>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</si>
  <si>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</si>
  <si>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</si>
  <si>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</si>
  <si>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</si>
  <si>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</si>
  <si>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</si>
  <si>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</si>
  <si>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</si>
  <si>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</si>
  <si>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</si>
  <si>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</si>
  <si>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</si>
  <si>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</si>
  <si>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</si>
  <si>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</si>
  <si>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</si>
  <si>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</si>
  <si>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</si>
  <si>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</si>
  <si>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</si>
  <si>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</si>
  <si>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</si>
  <si>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</si>
  <si>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</si>
  <si>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</si>
  <si>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</si>
  <si>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</si>
  <si>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</si>
  <si>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</si>
  <si>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</si>
  <si>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</si>
  <si>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</si>
  <si>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</si>
  <si>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</si>
  <si>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</si>
  <si>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</si>
  <si>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</si>
  <si>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</si>
  <si>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</si>
  <si>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</si>
  <si>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</si>
  <si>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</si>
  <si>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</si>
  <si>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</si>
  <si>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</si>
  <si>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</si>
  <si>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</si>
  <si>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</si>
  <si>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</si>
  <si>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</si>
  <si>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</si>
  <si>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</si>
  <si>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</si>
  <si>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</si>
  <si>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</si>
  <si>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</si>
  <si>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</si>
  <si>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</si>
  <si>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</si>
  <si>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</si>
  <si>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</si>
  <si>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</si>
  <si>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</si>
  <si>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</si>
  <si>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</si>
  <si>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</si>
  <si>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</si>
  <si>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</si>
  <si>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</si>
  <si>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</si>
  <si>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</si>
  <si>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</si>
  <si>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</si>
  <si>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</si>
  <si>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</si>
  <si>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</si>
  <si>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</si>
  <si>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</si>
  <si>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</si>
  <si>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</si>
  <si>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</si>
  <si>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</si>
  <si>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</si>
  <si>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</si>
  <si>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</si>
  <si>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</si>
  <si>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</si>
  <si>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</si>
  <si>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</si>
  <si>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</si>
  <si>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</si>
  <si>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</si>
  <si>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</si>
  <si>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</si>
  <si>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</si>
  <si>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</si>
  <si>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</si>
  <si>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</si>
  <si>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</si>
  <si>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</si>
  <si>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</si>
  <si>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</si>
  <si>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</si>
  <si>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</si>
  <si>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</si>
  <si>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</si>
  <si>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</si>
  <si>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</si>
  <si>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</si>
  <si>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</si>
  <si>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</si>
  <si>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</si>
  <si>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</si>
  <si>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</si>
  <si>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</si>
  <si>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</si>
  <si>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</si>
  <si>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</si>
  <si>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</si>
  <si>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</si>
  <si>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</si>
  <si>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</si>
  <si>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</si>
  <si>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</si>
  <si>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</si>
  <si>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</si>
  <si>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</si>
  <si>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</si>
  <si>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</si>
  <si>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</si>
  <si>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</si>
  <si>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</si>
  <si>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</si>
  <si>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</si>
  <si>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</si>
  <si>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</si>
  <si>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</si>
  <si>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</si>
  <si>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</si>
  <si>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</si>
  <si>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</si>
  <si>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</si>
  <si>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</si>
  <si>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</si>
  <si>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</si>
  <si>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</si>
  <si>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</si>
  <si>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</si>
  <si>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</si>
  <si>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</si>
  <si>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</si>
  <si>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</si>
  <si>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</si>
  <si>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</si>
  <si>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</si>
  <si>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</si>
  <si>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</si>
  <si>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</si>
  <si>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</si>
  <si>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</si>
  <si>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</si>
  <si>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</si>
  <si>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</si>
  <si>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</si>
  <si>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</si>
  <si>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</si>
  <si>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</si>
  <si>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</si>
  <si>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</si>
  <si>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</si>
  <si>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</si>
  <si>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</si>
  <si>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</si>
  <si>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</si>
  <si>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</si>
  <si>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</si>
  <si>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</si>
  <si>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</si>
  <si>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</si>
  <si>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</si>
  <si>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</si>
  <si>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</si>
  <si>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</si>
  <si>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</si>
  <si>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</si>
  <si>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</si>
  <si>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</si>
  <si>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</si>
  <si>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</si>
  <si>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</si>
  <si>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</si>
  <si>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</si>
  <si>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</si>
  <si>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</si>
  <si>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</si>
  <si>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</si>
  <si>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</si>
  <si>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</si>
  <si>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</si>
  <si>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</si>
  <si>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</si>
  <si>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</si>
  <si>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</si>
  <si>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</si>
  <si>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</si>
  <si>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</si>
  <si>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</si>
  <si>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</si>
  <si>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</si>
  <si>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</si>
  <si>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</si>
  <si>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</si>
  <si>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</si>
  <si>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</si>
  <si>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</si>
  <si>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</si>
  <si>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</si>
  <si>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</si>
  <si>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2608</t>
  </si>
  <si>
    <t>31687154</t>
  </si>
  <si>
    <t>АДМИНИСТРАЦИЯ БАБАЕВСКОГО МУНИЦИПАЛЬНОГО ОКРУГА</t>
  </si>
  <si>
    <t>3501009105</t>
  </si>
  <si>
    <t>350101001</t>
  </si>
  <si>
    <t>31760505</t>
  </si>
  <si>
    <t>АДМИНИСТРАЦИЯ КИРИЛЛОВСКОГО МУНИЦИПАЛЬНОГО ОКРУГА</t>
  </si>
  <si>
    <t>3500001495</t>
  </si>
  <si>
    <t>350001001</t>
  </si>
  <si>
    <t>17-06-2024 00:00:00</t>
  </si>
  <si>
    <t>31242880</t>
  </si>
  <si>
    <t>АДМИНИСТРАЦИЯ СЕЛЬСКОГО ПОСЕЛЕНИЯ НИКОЛОТОРЖСКОЕ КИРИЛЛОВСКОГО РАЙОНА</t>
  </si>
  <si>
    <t>3511005300</t>
  </si>
  <si>
    <t>351101001</t>
  </si>
  <si>
    <t>07-11-2005 00:00:00</t>
  </si>
  <si>
    <t>27-09-2024 00:00:00</t>
  </si>
  <si>
    <t>31242920</t>
  </si>
  <si>
    <t>АДМИНИСТРАЦИЯ СЕЛЬСКОГО ПОСЕЛЕНИЯ ФЕРАПОНТОВСКОЕ</t>
  </si>
  <si>
    <t>3511011833</t>
  </si>
  <si>
    <t>30-12-2009 00:00:00</t>
  </si>
  <si>
    <t>11-06-2024 00:00:00</t>
  </si>
  <si>
    <t>31242905</t>
  </si>
  <si>
    <t>АДМИНИСТРАЦИЯ ТАЛИЦКОГО ПОСЕЛЕНИЯ</t>
  </si>
  <si>
    <t>3511005251</t>
  </si>
  <si>
    <t>01-11-2005 00:00:00</t>
  </si>
  <si>
    <t>31397324</t>
  </si>
  <si>
    <t>АО "АВТОДОРГРУПП"</t>
  </si>
  <si>
    <t>3525373625</t>
  </si>
  <si>
    <t>352501001</t>
  </si>
  <si>
    <t>26356175</t>
  </si>
  <si>
    <t>АО "Агроскон"</t>
  </si>
  <si>
    <t>3525015193</t>
  </si>
  <si>
    <t>30989954</t>
  </si>
  <si>
    <t>АО "Апатит"</t>
  </si>
  <si>
    <t>5103070023</t>
  </si>
  <si>
    <t>997550001</t>
  </si>
  <si>
    <t>01-11-2017 00:00:00</t>
  </si>
  <si>
    <t>31243814</t>
  </si>
  <si>
    <t>АО "ВОЛОГДАГОРТЕПЛОСЕТЬ"</t>
  </si>
  <si>
    <t>3525432983</t>
  </si>
  <si>
    <t>14-11-2018 00:00:00</t>
  </si>
  <si>
    <t>26356179</t>
  </si>
  <si>
    <t>АО "ВОМЗ"</t>
  </si>
  <si>
    <t>3525023010</t>
  </si>
  <si>
    <t>14-04-1994 00:00:00</t>
  </si>
  <si>
    <t>28068715</t>
  </si>
  <si>
    <t>АО "Вологдаоблэнерго"</t>
  </si>
  <si>
    <t>3525372678</t>
  </si>
  <si>
    <t>09-01-2013 00:00:00</t>
  </si>
  <si>
    <t>28069815</t>
  </si>
  <si>
    <t>АО "Вологдаоблэнерго", обособленное подразделение в г. Белозерск</t>
  </si>
  <si>
    <t>350343001</t>
  </si>
  <si>
    <t>28069932</t>
  </si>
  <si>
    <t>АО "Вологдаоблэнерго", обособленное подразделение в г.Вытегра</t>
  </si>
  <si>
    <t>350843001</t>
  </si>
  <si>
    <t>28447730</t>
  </si>
  <si>
    <t>АО "Вологдаоблэнерго", обособленное подразделение в г.Харовск</t>
  </si>
  <si>
    <t>352143001</t>
  </si>
  <si>
    <t>15-11-2013 00:00:00</t>
  </si>
  <si>
    <t>26356178</t>
  </si>
  <si>
    <t>АО "Вологодский лесохимический завод"</t>
  </si>
  <si>
    <t>3525019141</t>
  </si>
  <si>
    <t>30335229</t>
  </si>
  <si>
    <t>АО "ГУ ЖКХ"</t>
  </si>
  <si>
    <t>5116000922</t>
  </si>
  <si>
    <t>770401001</t>
  </si>
  <si>
    <t>30406184</t>
  </si>
  <si>
    <t>АО "ПАТП-2"</t>
  </si>
  <si>
    <t>3525023500</t>
  </si>
  <si>
    <t>31036209</t>
  </si>
  <si>
    <t>АО "Племзавод Родина"</t>
  </si>
  <si>
    <t>3507313172</t>
  </si>
  <si>
    <t>350701001</t>
  </si>
  <si>
    <t>10-03-2017 00:00:00</t>
  </si>
  <si>
    <t>26838066</t>
  </si>
  <si>
    <t>АО "РЭУ"</t>
  </si>
  <si>
    <t>7714783092</t>
  </si>
  <si>
    <t>26428912</t>
  </si>
  <si>
    <t>АО "Северсталь Дистрибуция"</t>
  </si>
  <si>
    <t>3528015184</t>
  </si>
  <si>
    <t>352801001</t>
  </si>
  <si>
    <t>26356182</t>
  </si>
  <si>
    <t>АО "Совхоз "Заречье"</t>
  </si>
  <si>
    <t>3525079214</t>
  </si>
  <si>
    <t>26356213</t>
  </si>
  <si>
    <t>АО "Сокольский ДОК"</t>
  </si>
  <si>
    <t>3527008949</t>
  </si>
  <si>
    <t>352701001</t>
  </si>
  <si>
    <t>20-04-2000 00:00:00</t>
  </si>
  <si>
    <t>30376681</t>
  </si>
  <si>
    <t>АО "Сокольский ЦБК"</t>
  </si>
  <si>
    <t>3527000989</t>
  </si>
  <si>
    <t>26356063</t>
  </si>
  <si>
    <t>АО "ТЭЦ "Белый Ручей"</t>
  </si>
  <si>
    <t>3508005131</t>
  </si>
  <si>
    <t>350801001</t>
  </si>
  <si>
    <t>27747936</t>
  </si>
  <si>
    <t>АО "Учебно-опытный молочный завод" ВГМХА имени Н.В. Верещагина"</t>
  </si>
  <si>
    <t>3525279862</t>
  </si>
  <si>
    <t>26356224</t>
  </si>
  <si>
    <t>АО "Череповецкий ФМК"</t>
  </si>
  <si>
    <t>3528006408</t>
  </si>
  <si>
    <t>26356163</t>
  </si>
  <si>
    <t>АО "Шексна - Теплосеть"</t>
  </si>
  <si>
    <t>3524012697</t>
  </si>
  <si>
    <t>352401001</t>
  </si>
  <si>
    <t>27565956</t>
  </si>
  <si>
    <t>АО «НордЭнерго»</t>
  </si>
  <si>
    <t>7804348591</t>
  </si>
  <si>
    <t>470301001</t>
  </si>
  <si>
    <t>26356166</t>
  </si>
  <si>
    <t>АО ААК "Вологдаагрострой"</t>
  </si>
  <si>
    <t>3525000888</t>
  </si>
  <si>
    <t>26356207</t>
  </si>
  <si>
    <t>АО ПК "Вологодский"</t>
  </si>
  <si>
    <t>3527000555</t>
  </si>
  <si>
    <t>26434664</t>
  </si>
  <si>
    <t>АУ СО ВО «Устюженский дом социального обслуживания для граждан пожилого возраста и инвалидов»</t>
  </si>
  <si>
    <t>3520001800</t>
  </si>
  <si>
    <t>352001001</t>
  </si>
  <si>
    <t>31683259</t>
  </si>
  <si>
    <t>Администрация Верховажского муниципального округа</t>
  </si>
  <si>
    <t>3505005790</t>
  </si>
  <si>
    <t>350501001</t>
  </si>
  <si>
    <t>31334952</t>
  </si>
  <si>
    <t>Администрация Нелазского сельского поселения</t>
  </si>
  <si>
    <t>3523014123</t>
  </si>
  <si>
    <t>352301001</t>
  </si>
  <si>
    <t>29-10-2014 00:00:00</t>
  </si>
  <si>
    <t>31469376</t>
  </si>
  <si>
    <t>Администрация муниципального образования город Кириллов</t>
  </si>
  <si>
    <t>3511005237</t>
  </si>
  <si>
    <t>31242870</t>
  </si>
  <si>
    <t>Администрация сельского поселения Чарозерское Кирилловского района</t>
  </si>
  <si>
    <t>3511005406</t>
  </si>
  <si>
    <t>08-11-2005 00:00:00</t>
  </si>
  <si>
    <t>12-07-2024 00:00:00</t>
  </si>
  <si>
    <t>26356161</t>
  </si>
  <si>
    <t>БОУ ВО "Специальное учебно-воспитательное учреждение"</t>
  </si>
  <si>
    <t>3524003607</t>
  </si>
  <si>
    <t>26356076</t>
  </si>
  <si>
    <t>БОУ ДОД КМР ВО "Кирилловская детская школа искусств"</t>
  </si>
  <si>
    <t>3511002370</t>
  </si>
  <si>
    <t>28815480</t>
  </si>
  <si>
    <t>БПОУ  ВО "Белозерский индустриально-педагогический колледж им. А.А. Желобовского"</t>
  </si>
  <si>
    <t>3503001493</t>
  </si>
  <si>
    <t>350301001</t>
  </si>
  <si>
    <t>30870639</t>
  </si>
  <si>
    <t>БУ СО ВО "Вогнемский психоневрологический интернат"</t>
  </si>
  <si>
    <t>3511001909</t>
  </si>
  <si>
    <t>23-02-1995 00:00:00</t>
  </si>
  <si>
    <t>26785092</t>
  </si>
  <si>
    <t>БУ СО ВО "Психоневрологический интернат "Сосновая Роща"</t>
  </si>
  <si>
    <t>3527002785</t>
  </si>
  <si>
    <t>30864629</t>
  </si>
  <si>
    <t>БУ СО ВО «Кадниковский центр помощи детям, оставшимся без попечения родителей, № 4»</t>
  </si>
  <si>
    <t>3527002873</t>
  </si>
  <si>
    <t>20-03-2000 00:00:00</t>
  </si>
  <si>
    <t>28004821</t>
  </si>
  <si>
    <t>БУК Липецкий ДК</t>
  </si>
  <si>
    <t>3505004108</t>
  </si>
  <si>
    <t>29-02-2024 00:00:00</t>
  </si>
  <si>
    <t>26785028</t>
  </si>
  <si>
    <t>БУСО ВО "Кадниковский дом-интернат для умственно отсталых детей"</t>
  </si>
  <si>
    <t>3527002880</t>
  </si>
  <si>
    <t>26356170</t>
  </si>
  <si>
    <t>Бабушкинское ДРСУ  "Вологодавтодор"</t>
  </si>
  <si>
    <t>3525011978</t>
  </si>
  <si>
    <t>350202001</t>
  </si>
  <si>
    <t>26381517</t>
  </si>
  <si>
    <t>Вологодская дистанция гражданских сооружений – структурное подразделение Северной дирекции по эксплуатации зданий и сооружений – структурного подразделения Северной железной дороги – филиала ОАО «РЖД»</t>
  </si>
  <si>
    <t>7708503727</t>
  </si>
  <si>
    <t>352545077</t>
  </si>
  <si>
    <t>27566200</t>
  </si>
  <si>
    <t>Вологодский вагоноремонтный завод - обособленное структурное подразделение АО  «ВРК-1»</t>
  </si>
  <si>
    <t>7708737490</t>
  </si>
  <si>
    <t>352545001</t>
  </si>
  <si>
    <t>26966335</t>
  </si>
  <si>
    <t>Вологодский завод ЖБК и СД СМТ №5  филиал  АО "РЖДстрой"</t>
  </si>
  <si>
    <t>7708587205</t>
  </si>
  <si>
    <t>26381516</t>
  </si>
  <si>
    <t>Вологодский региональный производственный участок Северной дирекции по тепловодоснабжению  - структурного подразделения Центральной дирекции по тепловодоснабжению -  филиала ОАО «РЖД»</t>
  </si>
  <si>
    <t>991660001</t>
  </si>
  <si>
    <t>26319641</t>
  </si>
  <si>
    <t>Вологодский филиал ПАО «Россети Северо-Запад»</t>
  </si>
  <si>
    <t>7802312751</t>
  </si>
  <si>
    <t>352502001</t>
  </si>
  <si>
    <t>07-03-2008 00:00:00</t>
  </si>
  <si>
    <t>26356174</t>
  </si>
  <si>
    <t>ГЭП "ВОКЭ"</t>
  </si>
  <si>
    <t>3525014344</t>
  </si>
  <si>
    <t>353501001</t>
  </si>
  <si>
    <t>26594091</t>
  </si>
  <si>
    <t>ГЭП «Вологдаоблкоммунэнерго»</t>
  </si>
  <si>
    <t>ДЕПАРТАМЕНТ ТОПЛИВНО-ЭНЕРГЕТИЧЕСКОГО КОМПЛЕКСА И ТАРИФНОГО РЕГУЛИРОВАНИЯ ВОЛОГОДСКОЙ ОБЛАСТИ</t>
  </si>
  <si>
    <t>3525236925</t>
  </si>
  <si>
    <t>27684137</t>
  </si>
  <si>
    <t>ДТВЦ-6 Октябрьской железной дороги - филиала ОАО "РЖД"</t>
  </si>
  <si>
    <t>28873874</t>
  </si>
  <si>
    <t>ИП Андронов А.Н.</t>
  </si>
  <si>
    <t>352800526886</t>
  </si>
  <si>
    <t>21-11-2012 00:00:00</t>
  </si>
  <si>
    <t>26760990</t>
  </si>
  <si>
    <t>ИП Горохов С.Ж.</t>
  </si>
  <si>
    <t>440101211808</t>
  </si>
  <si>
    <t>13-10-2004 00:00:00</t>
  </si>
  <si>
    <t>26785758</t>
  </si>
  <si>
    <t>ИП Елоева Н.Н.</t>
  </si>
  <si>
    <t>352200133241</t>
  </si>
  <si>
    <t>31040760</t>
  </si>
  <si>
    <t>ИП Камышева Татьяна Николаевна</t>
  </si>
  <si>
    <t>352813231223</t>
  </si>
  <si>
    <t>14-09-2017 00:00:00</t>
  </si>
  <si>
    <t>28872608</t>
  </si>
  <si>
    <t>ИП Лукьянов Андрей Леонидович</t>
  </si>
  <si>
    <t>352101238324</t>
  </si>
  <si>
    <t>15-09-2014 00:00:00</t>
  </si>
  <si>
    <t>28883141</t>
  </si>
  <si>
    <t>ИП Новожилов С.А.</t>
  </si>
  <si>
    <t>352801303360</t>
  </si>
  <si>
    <t>27569338</t>
  </si>
  <si>
    <t>Кирилловское ДРСУ ОАО "Вологдаавтодор"</t>
  </si>
  <si>
    <t>26356016</t>
  </si>
  <si>
    <t>МБОУ "Борисовская СОШ"</t>
  </si>
  <si>
    <t>3501004629</t>
  </si>
  <si>
    <t>26413321</t>
  </si>
  <si>
    <t>МБОУ "Тороповская СОШ"</t>
  </si>
  <si>
    <t>3501004386</t>
  </si>
  <si>
    <t>31039190</t>
  </si>
  <si>
    <t>МБУ Вожегодского Муниципального района "ЦОМУ"</t>
  </si>
  <si>
    <t>3506005016</t>
  </si>
  <si>
    <t>350601001</t>
  </si>
  <si>
    <t>18-01-2016 00:00:00</t>
  </si>
  <si>
    <t>30903724</t>
  </si>
  <si>
    <t>МБУК "Верховский КДЦ"</t>
  </si>
  <si>
    <t>3505005503</t>
  </si>
  <si>
    <t>28004834</t>
  </si>
  <si>
    <t>МБУК "КДО Нижнекулойского сельского поселения"</t>
  </si>
  <si>
    <t>3505004757</t>
  </si>
  <si>
    <t>27670290</t>
  </si>
  <si>
    <t>МБУК "Коленгский ДЦ"</t>
  </si>
  <si>
    <t>3505004531</t>
  </si>
  <si>
    <t>27670281</t>
  </si>
  <si>
    <t>МБУК Морозовское КСО</t>
  </si>
  <si>
    <t>3505004098</t>
  </si>
  <si>
    <t>31649652</t>
  </si>
  <si>
    <t>МКП "ЖКХ-Тарнога"</t>
  </si>
  <si>
    <t>3517004617</t>
  </si>
  <si>
    <t>351701001</t>
  </si>
  <si>
    <t>31741488</t>
  </si>
  <si>
    <t>МКП "Коммунальная система"</t>
  </si>
  <si>
    <t>3505005888</t>
  </si>
  <si>
    <t>23-08-2023 00:00:00</t>
  </si>
  <si>
    <t>31043680</t>
  </si>
  <si>
    <t>МКУ "ЦКОД"</t>
  </si>
  <si>
    <t>3528243825</t>
  </si>
  <si>
    <t>31355103</t>
  </si>
  <si>
    <t>МКУ «МФЦ»</t>
  </si>
  <si>
    <t>3511006801</t>
  </si>
  <si>
    <t>30375003</t>
  </si>
  <si>
    <t>МП  "Служба Благоустройства"</t>
  </si>
  <si>
    <t>3508009922</t>
  </si>
  <si>
    <t>31267383</t>
  </si>
  <si>
    <t>МП "Борисовский коммунальщик"</t>
  </si>
  <si>
    <t>3501008895</t>
  </si>
  <si>
    <t>01-02-2019 00:00:00</t>
  </si>
  <si>
    <t>31037976</t>
  </si>
  <si>
    <t>МП "Водоканал"</t>
  </si>
  <si>
    <t>3515004851</t>
  </si>
  <si>
    <t>351501001</t>
  </si>
  <si>
    <t>17-05-2017 00:00:00</t>
  </si>
  <si>
    <t>26356066</t>
  </si>
  <si>
    <t>МП "Мегорский ЖЭУ"</t>
  </si>
  <si>
    <t>3508006537</t>
  </si>
  <si>
    <t>30-12-2005 00:00:00</t>
  </si>
  <si>
    <t>31363219</t>
  </si>
  <si>
    <t>МП «Коммунальные системы»</t>
  </si>
  <si>
    <t>3519004901</t>
  </si>
  <si>
    <t>351901001</t>
  </si>
  <si>
    <t>28445167</t>
  </si>
  <si>
    <t>МП «Пяжозерское ЖКХ»</t>
  </si>
  <si>
    <t>3501008341</t>
  </si>
  <si>
    <t>26788333</t>
  </si>
  <si>
    <t>МУ "Комплексный Центр социального обслуживания населения" Вожегодского района</t>
  </si>
  <si>
    <t>3506001759</t>
  </si>
  <si>
    <t>26356194</t>
  </si>
  <si>
    <t>МУ ВОФП "Санаторий Бобровниково"</t>
  </si>
  <si>
    <t>3526004282</t>
  </si>
  <si>
    <t>352601001</t>
  </si>
  <si>
    <t>26356015</t>
  </si>
  <si>
    <t>МУ санаторий "Каменная гора"</t>
  </si>
  <si>
    <t>3501001297</t>
  </si>
  <si>
    <t>31005704</t>
  </si>
  <si>
    <t>МУП "Андреевское"</t>
  </si>
  <si>
    <t>3504026035</t>
  </si>
  <si>
    <t>350401001</t>
  </si>
  <si>
    <t>30-01-2006 00:00:00</t>
  </si>
  <si>
    <t>26356032</t>
  </si>
  <si>
    <t>МУП "Бабушкинская теплосеть"</t>
  </si>
  <si>
    <t>3502004519</t>
  </si>
  <si>
    <t>350201001</t>
  </si>
  <si>
    <t>26379764</t>
  </si>
  <si>
    <t>МУП "Бечевинское"</t>
  </si>
  <si>
    <t>3503003606</t>
  </si>
  <si>
    <t>14-05-2024 00:00:00</t>
  </si>
  <si>
    <t>31423667</t>
  </si>
  <si>
    <t>МУП "ЖКХ ВЕГА"</t>
  </si>
  <si>
    <t>3510010450</t>
  </si>
  <si>
    <t>351001001</t>
  </si>
  <si>
    <t>31566620</t>
  </si>
  <si>
    <t>МУП "ЖКХ п.Хохлово"</t>
  </si>
  <si>
    <t>3510006703</t>
  </si>
  <si>
    <t>26372134</t>
  </si>
  <si>
    <t>МУП "ЖКХ" п.Чебсара</t>
  </si>
  <si>
    <t>3524010210</t>
  </si>
  <si>
    <t>06-08-2024 00:00:00</t>
  </si>
  <si>
    <t>26356204</t>
  </si>
  <si>
    <t>МУП "Жилкомхоз" сельского поселения Сусоловское</t>
  </si>
  <si>
    <t>3526021111</t>
  </si>
  <si>
    <t>17-05-2024 00:00:00</t>
  </si>
  <si>
    <t>30902520</t>
  </si>
  <si>
    <t>МУП "Кадуй Теплосеть"</t>
  </si>
  <si>
    <t>3510008411</t>
  </si>
  <si>
    <t>26356033</t>
  </si>
  <si>
    <t>МУП "Карьер"</t>
  </si>
  <si>
    <t>3502004685</t>
  </si>
  <si>
    <t>16-07-2024 00:00:00</t>
  </si>
  <si>
    <t>31547162</t>
  </si>
  <si>
    <t>МУП "Коммунальные сети"</t>
  </si>
  <si>
    <t>3520009735</t>
  </si>
  <si>
    <t>01-07-2021 00:00:00</t>
  </si>
  <si>
    <t>26757791</t>
  </si>
  <si>
    <t>МУП "Коммунальные системы"</t>
  </si>
  <si>
    <t>3527016080</t>
  </si>
  <si>
    <t>05-03-2010 00:00:00</t>
  </si>
  <si>
    <t>26356132</t>
  </si>
  <si>
    <t>МУП "Коммунальщик"</t>
  </si>
  <si>
    <t>3520006854</t>
  </si>
  <si>
    <t>10-02-2005 00:00:00</t>
  </si>
  <si>
    <t>31691419</t>
  </si>
  <si>
    <t>МУП "Коммуникации"</t>
  </si>
  <si>
    <t>3513003852</t>
  </si>
  <si>
    <t>351301001</t>
  </si>
  <si>
    <t>26356094</t>
  </si>
  <si>
    <t>МУП "Никольские теплосети"</t>
  </si>
  <si>
    <t>3514006119</t>
  </si>
  <si>
    <t>351401001</t>
  </si>
  <si>
    <t>31036176</t>
  </si>
  <si>
    <t>МУП "Районные Теплосети"</t>
  </si>
  <si>
    <t>3520009397</t>
  </si>
  <si>
    <t>01-08-2017 00:00:00</t>
  </si>
  <si>
    <t>31229820</t>
  </si>
  <si>
    <t>МУП "Ресурс"</t>
  </si>
  <si>
    <t>3526036358</t>
  </si>
  <si>
    <t>11-09-2018 00:00:00</t>
  </si>
  <si>
    <t>31267308</t>
  </si>
  <si>
    <t>МУП "ТеплоЭнергетик"</t>
  </si>
  <si>
    <t>3504003447</t>
  </si>
  <si>
    <t>31764033</t>
  </si>
  <si>
    <t>МУП "Теплоэнергия"</t>
  </si>
  <si>
    <t>3528005355</t>
  </si>
  <si>
    <t>19-01-2000 00:00:00</t>
  </si>
  <si>
    <t>26356222</t>
  </si>
  <si>
    <t>353950001</t>
  </si>
  <si>
    <t>31034589</t>
  </si>
  <si>
    <t>МУП "Тотемские Тепловые Системы"</t>
  </si>
  <si>
    <t>3518007265</t>
  </si>
  <si>
    <t>351801001</t>
  </si>
  <si>
    <t>26-07-2017 00:00:00</t>
  </si>
  <si>
    <t>31034675</t>
  </si>
  <si>
    <t>МУП "Универсалсервис"</t>
  </si>
  <si>
    <t>3522004475</t>
  </si>
  <si>
    <t>352201001</t>
  </si>
  <si>
    <t>13-08-2015 00:00:00</t>
  </si>
  <si>
    <t>26372041</t>
  </si>
  <si>
    <t>МУП "Управление ЖКХ п. Вохтога"</t>
  </si>
  <si>
    <t>3509000520</t>
  </si>
  <si>
    <t>350901001</t>
  </si>
  <si>
    <t>31034662</t>
  </si>
  <si>
    <t>МУП "Чагодаводоканал"</t>
  </si>
  <si>
    <t>3522004605</t>
  </si>
  <si>
    <t>20-07-2017 00:00:00</t>
  </si>
  <si>
    <t>21-05-2024 00:00:00</t>
  </si>
  <si>
    <t>26446385</t>
  </si>
  <si>
    <t>МУП "ЭТС"</t>
  </si>
  <si>
    <t>3509000143</t>
  </si>
  <si>
    <t>07-07-2003 00:00:00</t>
  </si>
  <si>
    <t>31379474</t>
  </si>
  <si>
    <t>МУП «Водоканал Череповецкого муниципального района»</t>
  </si>
  <si>
    <t>3523023311</t>
  </si>
  <si>
    <t>30357939</t>
  </si>
  <si>
    <t>МУП «ЖКХ Новокемский»</t>
  </si>
  <si>
    <t>3504003310</t>
  </si>
  <si>
    <t>28070753</t>
  </si>
  <si>
    <t>МУП «Кредо»</t>
  </si>
  <si>
    <t>3510008901</t>
  </si>
  <si>
    <t>13-04-2012 00:00:00</t>
  </si>
  <si>
    <t>16-09-2024 00:00:00</t>
  </si>
  <si>
    <t>31232053</t>
  </si>
  <si>
    <t>МУП «ТехКомСервис»</t>
  </si>
  <si>
    <t>3510010241</t>
  </si>
  <si>
    <t>25-05-2018 00:00:00</t>
  </si>
  <si>
    <t>31197006</t>
  </si>
  <si>
    <t>МУП «Универсал»</t>
  </si>
  <si>
    <t>3522004644</t>
  </si>
  <si>
    <t>26-09-2018 00:00:00</t>
  </si>
  <si>
    <t>31565669</t>
  </si>
  <si>
    <t>МУП ГП КМР ВО "Коммунальные системы"</t>
  </si>
  <si>
    <t>3511007178</t>
  </si>
  <si>
    <t>13-12-2021 00:00:00</t>
  </si>
  <si>
    <t>31662926</t>
  </si>
  <si>
    <t>МУП ЖКХ "Новленское" ВМО</t>
  </si>
  <si>
    <t>3507316818</t>
  </si>
  <si>
    <t>31211640</t>
  </si>
  <si>
    <t>МУП ЖКХ «Перспектива»</t>
  </si>
  <si>
    <t>3527023432</t>
  </si>
  <si>
    <t>26356054</t>
  </si>
  <si>
    <t>МУП ЖКХ ВМО "Федотово"</t>
  </si>
  <si>
    <t>3507010900</t>
  </si>
  <si>
    <t>21-04-2000 00:00:00</t>
  </si>
  <si>
    <t>31038192</t>
  </si>
  <si>
    <t>МУП ЖКХ СМР «Сямженское ЖКХ»</t>
  </si>
  <si>
    <t>3516004438</t>
  </si>
  <si>
    <t>351601001</t>
  </si>
  <si>
    <t>01-01-2018 00:00:00</t>
  </si>
  <si>
    <t>31208779</t>
  </si>
  <si>
    <t>МУП Междуреченского муниципального района «Жилищник 2»</t>
  </si>
  <si>
    <t>3513002457</t>
  </si>
  <si>
    <t>26356052</t>
  </si>
  <si>
    <t>МЧУ профсоюзов санаторий «Новый источник»</t>
  </si>
  <si>
    <t>3507009976</t>
  </si>
  <si>
    <t>26356197</t>
  </si>
  <si>
    <t>НАО "СВЕЗА Новатор"</t>
  </si>
  <si>
    <t>3526016400</t>
  </si>
  <si>
    <t>28969193</t>
  </si>
  <si>
    <t>26356169</t>
  </si>
  <si>
    <t>ОАО "Вологодский машиностроительный завод"</t>
  </si>
  <si>
    <t>3525010082</t>
  </si>
  <si>
    <t>27-06-2024 00:00:00</t>
  </si>
  <si>
    <t>26814895</t>
  </si>
  <si>
    <t>ОАО "РЖД" (Октябрьская дирекция по тепловодоснабжению - СП Центральной дирекции по тепловодоснабжению - филиала ОАО "РЖД")</t>
  </si>
  <si>
    <t>780445015</t>
  </si>
  <si>
    <t>01-04-2011 00:00:00</t>
  </si>
  <si>
    <t>26360948</t>
  </si>
  <si>
    <t>ОАО "Ростелеком"</t>
  </si>
  <si>
    <t>7707049388</t>
  </si>
  <si>
    <t>352543001</t>
  </si>
  <si>
    <t>28057205</t>
  </si>
  <si>
    <t>ОАО "Северное молоко"</t>
  </si>
  <si>
    <t>3509010494</t>
  </si>
  <si>
    <t>26356176</t>
  </si>
  <si>
    <t>ОАО "Северный коммунар"</t>
  </si>
  <si>
    <t>3525017031</t>
  </si>
  <si>
    <t>26356168</t>
  </si>
  <si>
    <t>ОАО "Стройиндустрия"</t>
  </si>
  <si>
    <t>3525008750</t>
  </si>
  <si>
    <t>28456920</t>
  </si>
  <si>
    <t>ОАО "Строймеханизация"</t>
  </si>
  <si>
    <t>3528008902</t>
  </si>
  <si>
    <t>28487755</t>
  </si>
  <si>
    <t>ОАО «Вологодавтодор»</t>
  </si>
  <si>
    <t>28455378</t>
  </si>
  <si>
    <t>ОАО «Сервис-Центр»</t>
  </si>
  <si>
    <t>3525149863</t>
  </si>
  <si>
    <t>31264054</t>
  </si>
  <si>
    <t>ОБЩЕСТВО С ОГРАНИЧЕННОЙ ОТВЕТСТВЕННОСТЬЮ "ЭНЕРГОТЕХПРОМ"</t>
  </si>
  <si>
    <t>3525129627</t>
  </si>
  <si>
    <t>26356145</t>
  </si>
  <si>
    <t>ООО  ЖКХ "Лукинское"</t>
  </si>
  <si>
    <t>3522004154</t>
  </si>
  <si>
    <t>26356193</t>
  </si>
  <si>
    <t>ООО "АНИКОР+"</t>
  </si>
  <si>
    <t>3528140474</t>
  </si>
  <si>
    <t>30865408</t>
  </si>
  <si>
    <t>ООО "Альянс"</t>
  </si>
  <si>
    <t>3525265718</t>
  </si>
  <si>
    <t>22-09-2016 00:00:00</t>
  </si>
  <si>
    <t>26419446</t>
  </si>
  <si>
    <t>ООО "Аспект-В"</t>
  </si>
  <si>
    <t>3507305573</t>
  </si>
  <si>
    <t>28445862</t>
  </si>
  <si>
    <t>ООО "БиоТеплоРесурс"</t>
  </si>
  <si>
    <t>3528192169</t>
  </si>
  <si>
    <t>26356017</t>
  </si>
  <si>
    <t>ООО "Борисово-Судская ПМК-3"</t>
  </si>
  <si>
    <t>3501006993</t>
  </si>
  <si>
    <t>28881883</t>
  </si>
  <si>
    <t>ООО "Борисовская управляющая компания"</t>
  </si>
  <si>
    <t>3501007490</t>
  </si>
  <si>
    <t>06-05-2024 00:00:00</t>
  </si>
  <si>
    <t>26356142</t>
  </si>
  <si>
    <t>ООО "Борисовское"</t>
  </si>
  <si>
    <t>3522003834</t>
  </si>
  <si>
    <t>28875119</t>
  </si>
  <si>
    <t>ООО "ВА Теплоэнергия"</t>
  </si>
  <si>
    <t>3508009591</t>
  </si>
  <si>
    <t>28252317</t>
  </si>
  <si>
    <t>ООО "ВАС-Сервис"</t>
  </si>
  <si>
    <t>3525146541</t>
  </si>
  <si>
    <t>31243034</t>
  </si>
  <si>
    <t>ООО "ВТС"</t>
  </si>
  <si>
    <t>3505005574</t>
  </si>
  <si>
    <t>03-05-2017 00:00:00</t>
  </si>
  <si>
    <t>26780045</t>
  </si>
  <si>
    <t>ООО "ВладиСтройКомфорт"</t>
  </si>
  <si>
    <t>3525186880</t>
  </si>
  <si>
    <t>31043528</t>
  </si>
  <si>
    <t>ООО "Водоканал-35"</t>
  </si>
  <si>
    <t>3507312517</t>
  </si>
  <si>
    <t>19-08-2016 00:00:00</t>
  </si>
  <si>
    <t>28148315</t>
  </si>
  <si>
    <t>ООО "Возрождение"</t>
  </si>
  <si>
    <t>3521100137</t>
  </si>
  <si>
    <t>352101001</t>
  </si>
  <si>
    <t>30378711</t>
  </si>
  <si>
    <t>ООО "Вологодский комбинат хлебопродуктов"</t>
  </si>
  <si>
    <t>3525291370</t>
  </si>
  <si>
    <t>28855879</t>
  </si>
  <si>
    <t>ООО "Вологодский судостроительно-судоремонтный завод"</t>
  </si>
  <si>
    <t>3525107951</t>
  </si>
  <si>
    <t>26356196</t>
  </si>
  <si>
    <t>ООО "Вотчина"</t>
  </si>
  <si>
    <t>3526019786</t>
  </si>
  <si>
    <t>26356069</t>
  </si>
  <si>
    <t>ООО "Вохтога-инженерные системы"</t>
  </si>
  <si>
    <t>3509009308</t>
  </si>
  <si>
    <t>25-08-0008 00:00:00</t>
  </si>
  <si>
    <t>26356062</t>
  </si>
  <si>
    <t>ООО "Вытегорский межхозяйственный ЛПХ"</t>
  </si>
  <si>
    <t>3508004882</t>
  </si>
  <si>
    <t>26356154</t>
  </si>
  <si>
    <t>ООО "Газпром теплоэнерго Вологда"</t>
  </si>
  <si>
    <t>3523011161</t>
  </si>
  <si>
    <t>26439612</t>
  </si>
  <si>
    <t>ООО "Газпром трансгаз Ухта"</t>
  </si>
  <si>
    <t>1102024468</t>
  </si>
  <si>
    <t>110201001</t>
  </si>
  <si>
    <t>30-06-1999 00:00:00</t>
  </si>
  <si>
    <t>26429338</t>
  </si>
  <si>
    <t>350902001</t>
  </si>
  <si>
    <t>26431752</t>
  </si>
  <si>
    <t>ООО "Газпром трансгаз Ухта" Нюксенское ЛПУМГ</t>
  </si>
  <si>
    <t>351502001</t>
  </si>
  <si>
    <t>26783606</t>
  </si>
  <si>
    <t>ООО "Газпром трансгаз Ухта" Приводинское ЛПУМГ</t>
  </si>
  <si>
    <t>291302001</t>
  </si>
  <si>
    <t>27-08-2002 00:00:00</t>
  </si>
  <si>
    <t>26434110</t>
  </si>
  <si>
    <t>ООО "Газпром трансгаз Ухта" Юбилейное  ЛПУМГ</t>
  </si>
  <si>
    <t>351802001</t>
  </si>
  <si>
    <t>26372069</t>
  </si>
  <si>
    <t>ООО "Городищенское ЖКХ"</t>
  </si>
  <si>
    <t>3515003600</t>
  </si>
  <si>
    <t>26356215</t>
  </si>
  <si>
    <t>ООО "Гортеплосеть плюс"</t>
  </si>
  <si>
    <t>3527011155</t>
  </si>
  <si>
    <t>26356201</t>
  </si>
  <si>
    <t>ООО "ЖКО села Усть-Алексеево"</t>
  </si>
  <si>
    <t>3526018581</t>
  </si>
  <si>
    <t>26356144</t>
  </si>
  <si>
    <t>ООО "ЖКХ  Покровское"</t>
  </si>
  <si>
    <t>3522003827</t>
  </si>
  <si>
    <t>26356025</t>
  </si>
  <si>
    <t>ООО "ЖКХ Борисовское"</t>
  </si>
  <si>
    <t>3501006489</t>
  </si>
  <si>
    <t>26371998</t>
  </si>
  <si>
    <t>ООО "ЖКХ Пожарское"</t>
  </si>
  <si>
    <t>3501006471</t>
  </si>
  <si>
    <t>26356021</t>
  </si>
  <si>
    <t>ООО "ЖКХ Санинское"</t>
  </si>
  <si>
    <t>3501006425</t>
  </si>
  <si>
    <t>26356020</t>
  </si>
  <si>
    <t>ООО "ЖКХ Тимошинское"</t>
  </si>
  <si>
    <t>3501006418</t>
  </si>
  <si>
    <t>26356085</t>
  </si>
  <si>
    <t>ООО "ЖКХ Шиндалово"</t>
  </si>
  <si>
    <t>3511005540</t>
  </si>
  <si>
    <t>26759099</t>
  </si>
  <si>
    <t>ООО "ЖКХ с. Васильевское"</t>
  </si>
  <si>
    <t>3526023944</t>
  </si>
  <si>
    <t>26450234</t>
  </si>
  <si>
    <t>ООО "ЖилКомСервис"</t>
  </si>
  <si>
    <t>3519003601</t>
  </si>
  <si>
    <t>26382282</t>
  </si>
  <si>
    <t>ООО "Жилищник"</t>
  </si>
  <si>
    <t>3503012294</t>
  </si>
  <si>
    <t>26833135</t>
  </si>
  <si>
    <t>3512004229</t>
  </si>
  <si>
    <t>351201001</t>
  </si>
  <si>
    <t>28873254</t>
  </si>
  <si>
    <t>ООО "Жилкомплект"</t>
  </si>
  <si>
    <t>3511000711</t>
  </si>
  <si>
    <t>27871598</t>
  </si>
  <si>
    <t>ООО "Жилкомсервис"</t>
  </si>
  <si>
    <t>3525280233</t>
  </si>
  <si>
    <t>26356192</t>
  </si>
  <si>
    <t>ООО "Западная котельная"</t>
  </si>
  <si>
    <t>3525135395</t>
  </si>
  <si>
    <t>28857279</t>
  </si>
  <si>
    <t>ООО "Звезда"</t>
  </si>
  <si>
    <t>3503003973</t>
  </si>
  <si>
    <t>30881155</t>
  </si>
  <si>
    <t>ООО "Инжиниринг"</t>
  </si>
  <si>
    <t>3528228425</t>
  </si>
  <si>
    <t>14-04-2015 00:00:00</t>
  </si>
  <si>
    <t>30395387</t>
  </si>
  <si>
    <t>ООО "Кадниковтеплосеть"</t>
  </si>
  <si>
    <t>3525351075</t>
  </si>
  <si>
    <t>28048841</t>
  </si>
  <si>
    <t>ООО "Капиталъ"</t>
  </si>
  <si>
    <t>3508007530</t>
  </si>
  <si>
    <t>28965909</t>
  </si>
  <si>
    <t>ООО "Коммунальные системы"</t>
  </si>
  <si>
    <t>4401161193</t>
  </si>
  <si>
    <t>440101001</t>
  </si>
  <si>
    <t>21-04-2015 00:00:00</t>
  </si>
  <si>
    <t>26372146</t>
  </si>
  <si>
    <t>ООО "Красавинские электротеплосети"</t>
  </si>
  <si>
    <t>3526018341</t>
  </si>
  <si>
    <t>26372047</t>
  </si>
  <si>
    <t>ООО "Липовское ЖКХ"</t>
  </si>
  <si>
    <t>3511005484</t>
  </si>
  <si>
    <t>27620816</t>
  </si>
  <si>
    <t>ООО "Ломоватское ЖКХ"</t>
  </si>
  <si>
    <t>3526028798</t>
  </si>
  <si>
    <t>31232649</t>
  </si>
  <si>
    <t>ООО "Луч"</t>
  </si>
  <si>
    <t>3520009365</t>
  </si>
  <si>
    <t>26757863</t>
  </si>
  <si>
    <t>ООО "Макарцево-лес"</t>
  </si>
  <si>
    <t>3505004059</t>
  </si>
  <si>
    <t>28273946</t>
  </si>
  <si>
    <t>ООО "Надежда"</t>
  </si>
  <si>
    <t>3520008964</t>
  </si>
  <si>
    <t>26356086</t>
  </si>
  <si>
    <t>ООО "Николоторжское ЖКХ"</t>
  </si>
  <si>
    <t>3511005558</t>
  </si>
  <si>
    <t>26757903</t>
  </si>
  <si>
    <t>ООО "Никольский жилищно-коммунальный сервис"</t>
  </si>
  <si>
    <t>3514007680</t>
  </si>
  <si>
    <t>26356199</t>
  </si>
  <si>
    <t>ООО "Новатор-Сервис"</t>
  </si>
  <si>
    <t>3526018126</t>
  </si>
  <si>
    <t>26770993</t>
  </si>
  <si>
    <t>ООО "Новое"</t>
  </si>
  <si>
    <t>3510008612</t>
  </si>
  <si>
    <t>26431677</t>
  </si>
  <si>
    <t>ООО "Нюксенские  ЭТС"</t>
  </si>
  <si>
    <t>3515003304</t>
  </si>
  <si>
    <t>27832536</t>
  </si>
  <si>
    <t>ООО "Осень"</t>
  </si>
  <si>
    <t>3503011290</t>
  </si>
  <si>
    <t>26780034</t>
  </si>
  <si>
    <t>ООО "ППТК-Логистика"</t>
  </si>
  <si>
    <t>3525169919</t>
  </si>
  <si>
    <t>28511535</t>
  </si>
  <si>
    <t>ООО "ПРИОРИТЕТ"</t>
  </si>
  <si>
    <t>3521100754</t>
  </si>
  <si>
    <t>26356151</t>
  </si>
  <si>
    <t>ООО "Предприятие Агропромэнерго"</t>
  </si>
  <si>
    <t>3523001011</t>
  </si>
  <si>
    <t>28273886</t>
  </si>
  <si>
    <t>ООО "Промметастрой"</t>
  </si>
  <si>
    <t>3528054024</t>
  </si>
  <si>
    <t>26356049</t>
  </si>
  <si>
    <t>ООО "РСО "Пудега-Ресурс"</t>
  </si>
  <si>
    <t>3507305534</t>
  </si>
  <si>
    <t>30375016</t>
  </si>
  <si>
    <t>ООО "Ремслужба"</t>
  </si>
  <si>
    <t>3526024916</t>
  </si>
  <si>
    <t>26426918</t>
  </si>
  <si>
    <t>ООО "Росавтосервис"</t>
  </si>
  <si>
    <t>3525272433</t>
  </si>
  <si>
    <t>28273813</t>
  </si>
  <si>
    <t>ООО "Северная Сосна"</t>
  </si>
  <si>
    <t>3513003436</t>
  </si>
  <si>
    <t>27567332</t>
  </si>
  <si>
    <t>ООО "Северсталь Трубопрофильный завод - Шексна"</t>
  </si>
  <si>
    <t>3524014020</t>
  </si>
  <si>
    <t>26372125</t>
  </si>
  <si>
    <t>ООО "Северстрой"</t>
  </si>
  <si>
    <t>3523012743</t>
  </si>
  <si>
    <t>26419574</t>
  </si>
  <si>
    <t>ООО "Сосны"</t>
  </si>
  <si>
    <t>3507305037</t>
  </si>
  <si>
    <t>12-11-2007 00:00:00</t>
  </si>
  <si>
    <t>27569322</t>
  </si>
  <si>
    <t>ООО "Стройкомплект"</t>
  </si>
  <si>
    <t>3511006008</t>
  </si>
  <si>
    <t>28945694</t>
  </si>
  <si>
    <t>ООО "Сухонский КБК"</t>
  </si>
  <si>
    <t>3519003961</t>
  </si>
  <si>
    <t>26356096</t>
  </si>
  <si>
    <t>ООО "Сямженская ПМК"</t>
  </si>
  <si>
    <t>3516001540</t>
  </si>
  <si>
    <t>26382294</t>
  </si>
  <si>
    <t>ООО "Сямженский водопровод"</t>
  </si>
  <si>
    <t>3516002977</t>
  </si>
  <si>
    <t>31241595</t>
  </si>
  <si>
    <t>ООО "ТеплоДарСервис"</t>
  </si>
  <si>
    <t>3525419460</t>
  </si>
  <si>
    <t>08-02-2018 00:00:00</t>
  </si>
  <si>
    <t>31213891</t>
  </si>
  <si>
    <t>ООО "ТеплоРесурс"</t>
  </si>
  <si>
    <t>3528262722</t>
  </si>
  <si>
    <t>19-09-2016 00:00:00</t>
  </si>
  <si>
    <t>31041579</t>
  </si>
  <si>
    <t>ООО "ТеплоСтрой"</t>
  </si>
  <si>
    <t>3527021724</t>
  </si>
  <si>
    <t>23-05-2016 00:00:00</t>
  </si>
  <si>
    <t>28799411</t>
  </si>
  <si>
    <t>ООО "ТеплоЭнергоСбыт"</t>
  </si>
  <si>
    <t>3525284855</t>
  </si>
  <si>
    <t>26356035</t>
  </si>
  <si>
    <t>ООО "Тепловик"</t>
  </si>
  <si>
    <t>3504010469</t>
  </si>
  <si>
    <t>26755934</t>
  </si>
  <si>
    <t>ООО "Тепловик-Ресурс"</t>
  </si>
  <si>
    <t>3507306520</t>
  </si>
  <si>
    <t>28106388</t>
  </si>
  <si>
    <t>ООО "Теплоисточник"</t>
  </si>
  <si>
    <t>3525291919</t>
  </si>
  <si>
    <t>26356148</t>
  </si>
  <si>
    <t>ООО "Теплосервис"</t>
  </si>
  <si>
    <t>3522003792</t>
  </si>
  <si>
    <t>26814566</t>
  </si>
  <si>
    <t>3526022524</t>
  </si>
  <si>
    <t>01-10-2007 00:00:00</t>
  </si>
  <si>
    <t>27774424</t>
  </si>
  <si>
    <t>ООО "Теплосети"</t>
  </si>
  <si>
    <t>3509010744</t>
  </si>
  <si>
    <t>26356100</t>
  </si>
  <si>
    <t>ООО "Теплосеть Заборье"</t>
  </si>
  <si>
    <t>3517803881</t>
  </si>
  <si>
    <t>26356158</t>
  </si>
  <si>
    <t>ООО "Теплосеть-3"</t>
  </si>
  <si>
    <t>3523015737</t>
  </si>
  <si>
    <t>26356187</t>
  </si>
  <si>
    <t>ООО "Теплосила"</t>
  </si>
  <si>
    <t>3525111919</t>
  </si>
  <si>
    <t>28446240</t>
  </si>
  <si>
    <t>ООО "Теплострой"</t>
  </si>
  <si>
    <t>3518009858</t>
  </si>
  <si>
    <t>26356157</t>
  </si>
  <si>
    <t>ООО "Теплоэнергия"</t>
  </si>
  <si>
    <t>3523014349</t>
  </si>
  <si>
    <t>28444589</t>
  </si>
  <si>
    <t>ООО "Торговый Дом Эффект"</t>
  </si>
  <si>
    <t>3525292550</t>
  </si>
  <si>
    <t>31044037</t>
  </si>
  <si>
    <t>ООО "Тэвис"</t>
  </si>
  <si>
    <t>3528228471</t>
  </si>
  <si>
    <t>15-04-2015 00:00:00</t>
  </si>
  <si>
    <t>30384118</t>
  </si>
  <si>
    <t>ООО "УК "Великий Устюг"</t>
  </si>
  <si>
    <t>3526031670</t>
  </si>
  <si>
    <t>26814835</t>
  </si>
  <si>
    <t>ООО "Управляющая компания Транзит"</t>
  </si>
  <si>
    <t>3526018302</t>
  </si>
  <si>
    <t>26356099</t>
  </si>
  <si>
    <t>ООО "Услуга"</t>
  </si>
  <si>
    <t>3517803874</t>
  </si>
  <si>
    <t>30852251</t>
  </si>
  <si>
    <t>ООО "Устье Теплосеть"</t>
  </si>
  <si>
    <t>3519004637</t>
  </si>
  <si>
    <t>26356131</t>
  </si>
  <si>
    <t>ООО "Устюженский АПК"</t>
  </si>
  <si>
    <t>3520005498</t>
  </si>
  <si>
    <t>26430068</t>
  </si>
  <si>
    <t>ООО "Феникс"</t>
  </si>
  <si>
    <t>3511011583</t>
  </si>
  <si>
    <t>26356134</t>
  </si>
  <si>
    <t>ООО "Харовсклеспром"</t>
  </si>
  <si>
    <t>3521004049</t>
  </si>
  <si>
    <t>16-01-2001 00:00:00</t>
  </si>
  <si>
    <t>31196231</t>
  </si>
  <si>
    <t>ООО "ЧЗМК"</t>
  </si>
  <si>
    <t>7731383256</t>
  </si>
  <si>
    <t>773101001</t>
  </si>
  <si>
    <t>11-09-2017 00:00:00</t>
  </si>
  <si>
    <t>31300554</t>
  </si>
  <si>
    <t>ООО "Чуровское коммунальное хозяйство"</t>
  </si>
  <si>
    <t>3524016638</t>
  </si>
  <si>
    <t>28274016</t>
  </si>
  <si>
    <t>ООО "Шекснинский бройлер"</t>
  </si>
  <si>
    <t>3525291813</t>
  </si>
  <si>
    <t>26356162</t>
  </si>
  <si>
    <t>ООО "Шекснинский комбинат древесных плит"</t>
  </si>
  <si>
    <t>3524009045</t>
  </si>
  <si>
    <t>30390813</t>
  </si>
  <si>
    <t>ООО "Шухтовское"</t>
  </si>
  <si>
    <t>3528191567</t>
  </si>
  <si>
    <t>26372145</t>
  </si>
  <si>
    <t>ООО "Электротеплосеть"</t>
  </si>
  <si>
    <t>3526018334</t>
  </si>
  <si>
    <t>02-07-2004 00:00:00</t>
  </si>
  <si>
    <t>26757900</t>
  </si>
  <si>
    <t>ООО "Энергия-1"</t>
  </si>
  <si>
    <t>3523017710</t>
  </si>
  <si>
    <t>31043309</t>
  </si>
  <si>
    <t>ООО "Энерго-Центр"</t>
  </si>
  <si>
    <t>3525387610</t>
  </si>
  <si>
    <t>10-10-2016 00:00:00</t>
  </si>
  <si>
    <t>26372101</t>
  </si>
  <si>
    <t>ООО "Яковлевское"</t>
  </si>
  <si>
    <t>3520007865</t>
  </si>
  <si>
    <t>31305730</t>
  </si>
  <si>
    <t>ООО «Агат»</t>
  </si>
  <si>
    <t>3520009319</t>
  </si>
  <si>
    <t>28823267</t>
  </si>
  <si>
    <t>ООО «ЕрмаковоРесурс»</t>
  </si>
  <si>
    <t>3507310615</t>
  </si>
  <si>
    <t>31354876</t>
  </si>
  <si>
    <t>ООО «ЖБИиК»</t>
  </si>
  <si>
    <t>3525436610</t>
  </si>
  <si>
    <t>28260820</t>
  </si>
  <si>
    <t>ООО «Железобетон-12»</t>
  </si>
  <si>
    <t>3528010531</t>
  </si>
  <si>
    <t>27578933</t>
  </si>
  <si>
    <t>ООО «Жилстройиндустрия»</t>
  </si>
  <si>
    <t>3525108923</t>
  </si>
  <si>
    <t>31445555</t>
  </si>
  <si>
    <t>ООО «Комфорт»</t>
  </si>
  <si>
    <t>3525369330</t>
  </si>
  <si>
    <t>28068430</t>
  </si>
  <si>
    <t>ООО «Офир»</t>
  </si>
  <si>
    <t>3525110383</t>
  </si>
  <si>
    <t>28446291</t>
  </si>
  <si>
    <t>ООО «Приток»</t>
  </si>
  <si>
    <t>3513003355</t>
  </si>
  <si>
    <t>07-08-2012 00:00:00</t>
  </si>
  <si>
    <t>31647520</t>
  </si>
  <si>
    <t>ООО «СИМ»</t>
  </si>
  <si>
    <t>3525418298</t>
  </si>
  <si>
    <t>31204629</t>
  </si>
  <si>
    <t>ООО «СТК»</t>
  </si>
  <si>
    <t>3527022894</t>
  </si>
  <si>
    <t>08-10-2018 00:00:00</t>
  </si>
  <si>
    <t>28446064</t>
  </si>
  <si>
    <t>ООО «ТеплоЦентрСтрой»</t>
  </si>
  <si>
    <t>3525303642</t>
  </si>
  <si>
    <t>31196720</t>
  </si>
  <si>
    <t>ООО «Теплоресурс»</t>
  </si>
  <si>
    <t>3522004676</t>
  </si>
  <si>
    <t>31206265</t>
  </si>
  <si>
    <t>ООО «Теплосфера»</t>
  </si>
  <si>
    <t>3522004669</t>
  </si>
  <si>
    <t>28883037</t>
  </si>
  <si>
    <t>ООО ПФ "Полиграфист"</t>
  </si>
  <si>
    <t>3525081140</t>
  </si>
  <si>
    <t>26755888</t>
  </si>
  <si>
    <t>ООО СХП "Устюгмолоко"</t>
  </si>
  <si>
    <t>3525188742</t>
  </si>
  <si>
    <t>31379599</t>
  </si>
  <si>
    <t>ООО УК «Дом у рощи»</t>
  </si>
  <si>
    <t>3525388188</t>
  </si>
  <si>
    <t>26359320</t>
  </si>
  <si>
    <t>ПАО "ОГК-2"</t>
  </si>
  <si>
    <t>2607018122</t>
  </si>
  <si>
    <t>351043001</t>
  </si>
  <si>
    <t>26356219</t>
  </si>
  <si>
    <t>ПАО "Северсталь"</t>
  </si>
  <si>
    <t>3528000597</t>
  </si>
  <si>
    <t>26523308</t>
  </si>
  <si>
    <t>760601001</t>
  </si>
  <si>
    <t>27578936</t>
  </si>
  <si>
    <t>ПАО железнодорожная страховая компания «ЖАСКО»</t>
  </si>
  <si>
    <t>3525013446</t>
  </si>
  <si>
    <t>26356058</t>
  </si>
  <si>
    <t>СХПК "Племптица-Можайское"</t>
  </si>
  <si>
    <t>3507011990</t>
  </si>
  <si>
    <t>26356056</t>
  </si>
  <si>
    <t>СХПК комбинат "Тепличный"</t>
  </si>
  <si>
    <t>3507011510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</si>
  <si>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</si>
  <si>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</si>
  <si>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</si>
  <si>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</si>
  <si>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</si>
  <si>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</si>
  <si>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</si>
  <si>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</si>
  <si>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30902538</t>
  </si>
  <si>
    <t>Сямженский лесхоз - филиал САУ лесного хозяйства ВО "Вологодалесхоз"</t>
  </si>
  <si>
    <t>3525090553</t>
  </si>
  <si>
    <t>26356173</t>
  </si>
  <si>
    <t>УПТК ОАО "Вологодавтодор"</t>
  </si>
  <si>
    <t>30903763</t>
  </si>
  <si>
    <t>ФГБУ "ЦЖКУ" МИНОБОРОНЫ РОССИИ</t>
  </si>
  <si>
    <t>7729314745</t>
  </si>
  <si>
    <t>770101001</t>
  </si>
  <si>
    <t>31034825</t>
  </si>
  <si>
    <t>ФГБУ "ЦЖКУ" Минобороны России</t>
  </si>
  <si>
    <t>770101003</t>
  </si>
  <si>
    <t>26356209</t>
  </si>
  <si>
    <t>ФКУ ИК-4 УФСИН России по Вологодской области</t>
  </si>
  <si>
    <t>3527004422</t>
  </si>
  <si>
    <t>26759060</t>
  </si>
  <si>
    <t>ФКУ ИК-5 УФСИН России по Вологодской области</t>
  </si>
  <si>
    <t>26356184</t>
  </si>
  <si>
    <t>ФКУ УК УФСИН России по Вологодской области</t>
  </si>
  <si>
    <t>3525091814</t>
  </si>
  <si>
    <t>26424641</t>
  </si>
  <si>
    <t>Филиал РТРС "Вологодский областной радиотелевизионный передающий центр"</t>
  </si>
  <si>
    <t>7717127211</t>
  </si>
  <si>
    <t>26361103</t>
  </si>
  <si>
    <t>филиал ЗАО "Светлана-Рентген"  "Бабаево-Рентген"</t>
  </si>
  <si>
    <t>7805026364</t>
  </si>
  <si>
    <t>350103001</t>
  </si>
  <si>
    <t>30872593</t>
  </si>
  <si>
    <t>ООО "Коммунальные услуги"</t>
  </si>
  <si>
    <t>3514008229</t>
  </si>
  <si>
    <t>26-10-2006 00:00:00</t>
  </si>
  <si>
    <t>31312769</t>
  </si>
  <si>
    <t>ООО «ДЛК-сервис»</t>
  </si>
  <si>
    <t>3507308285</t>
  </si>
  <si>
    <t>350701100</t>
  </si>
  <si>
    <t>30383356</t>
  </si>
  <si>
    <t>АО "Вологодский мясокомбинат"</t>
  </si>
  <si>
    <t>3525070130</t>
  </si>
  <si>
    <t>28459256</t>
  </si>
  <si>
    <t>Администрация Завражского СП</t>
  </si>
  <si>
    <t>3514006334</t>
  </si>
  <si>
    <t>26-01-2024 00:00:00</t>
  </si>
  <si>
    <t>31410113</t>
  </si>
  <si>
    <t>Администрация Никольского муниципального округа Вологодской области</t>
  </si>
  <si>
    <t>3514001061</t>
  </si>
  <si>
    <t>31745076</t>
  </si>
  <si>
    <t>3500000678</t>
  </si>
  <si>
    <t>31679654</t>
  </si>
  <si>
    <t>Администрация Сокольского муниципального округа Вологодской области</t>
  </si>
  <si>
    <t>3527024757</t>
  </si>
  <si>
    <t>31149964</t>
  </si>
  <si>
    <t>Администрация сельского поселения Заречное</t>
  </si>
  <si>
    <t>3526035700</t>
  </si>
  <si>
    <t>29-01-2018 00:00:00</t>
  </si>
  <si>
    <t>26446526</t>
  </si>
  <si>
    <t>ЗАО "Агрофирма имени Павлова"</t>
  </si>
  <si>
    <t>3514000357</t>
  </si>
  <si>
    <t>26757907</t>
  </si>
  <si>
    <t>ЗАО "Ботово"</t>
  </si>
  <si>
    <t>3523000307</t>
  </si>
  <si>
    <t>26791425</t>
  </si>
  <si>
    <t>ЗАО "Вологодский подшипниковый завод"</t>
  </si>
  <si>
    <t>3525027150</t>
  </si>
  <si>
    <t>26356067</t>
  </si>
  <si>
    <t>ЗАО "Грязовецкий АРЗ"</t>
  </si>
  <si>
    <t>3509000129</t>
  </si>
  <si>
    <t>26372141</t>
  </si>
  <si>
    <t>ЗАО "Птицефабрика "Великоустюгская"</t>
  </si>
  <si>
    <t>3526006635</t>
  </si>
  <si>
    <t>11-03-2024 00:00:00</t>
  </si>
  <si>
    <t>30418536</t>
  </si>
  <si>
    <t>ИП Нестеров С.Г.</t>
  </si>
  <si>
    <t>350300051951</t>
  </si>
  <si>
    <t>31679352</t>
  </si>
  <si>
    <t>КУ "ЦЕНТР ПО ОБЕСПЕЧЕНИЮ ДЕЯТЕЛЬНОСТИ"</t>
  </si>
  <si>
    <t>3512006360</t>
  </si>
  <si>
    <t>26372088</t>
  </si>
  <si>
    <t>Колхоз "Великодворье"</t>
  </si>
  <si>
    <t>3518000372</t>
  </si>
  <si>
    <t>31342329</t>
  </si>
  <si>
    <t>МБУ ВМР "ХПУ"</t>
  </si>
  <si>
    <t>3508010540</t>
  </si>
  <si>
    <t>26-03-2019 00:00:00</t>
  </si>
  <si>
    <t>31645011</t>
  </si>
  <si>
    <t>МКП "Водоканал Устюжна"</t>
  </si>
  <si>
    <t>3520009809</t>
  </si>
  <si>
    <t>31423340</t>
  </si>
  <si>
    <t>МКП "Управление ЖКХ"</t>
  </si>
  <si>
    <t>3521006871</t>
  </si>
  <si>
    <t>31276904</t>
  </si>
  <si>
    <t>МКП «Управление ЖКХ»</t>
  </si>
  <si>
    <t>3506005182</t>
  </si>
  <si>
    <t>31739139</t>
  </si>
  <si>
    <t>МКП БМО ВО "ЖКХ"</t>
  </si>
  <si>
    <t>3503006212</t>
  </si>
  <si>
    <t>31402393</t>
  </si>
  <si>
    <t>МП города Вытегра "Горводоканал"</t>
  </si>
  <si>
    <t>3508010565</t>
  </si>
  <si>
    <t>30865386</t>
  </si>
  <si>
    <t>МУП "ВОДА"</t>
  </si>
  <si>
    <t>3502005960</t>
  </si>
  <si>
    <t>30-05-2016 00:00:00</t>
  </si>
  <si>
    <t>17-09-2024 00:00:00</t>
  </si>
  <si>
    <t>26442276</t>
  </si>
  <si>
    <t>МУП "ВиВ"</t>
  </si>
  <si>
    <t>3501000166</t>
  </si>
  <si>
    <t>28444495</t>
  </si>
  <si>
    <t>МУП "Водоканал"</t>
  </si>
  <si>
    <t>3504002725</t>
  </si>
  <si>
    <t>26372138</t>
  </si>
  <si>
    <t>3526000898</t>
  </si>
  <si>
    <t>26372016</t>
  </si>
  <si>
    <t>МУП "Гулино"</t>
  </si>
  <si>
    <t>3503003571</t>
  </si>
  <si>
    <t>31506619</t>
  </si>
  <si>
    <t>МУП "Коммунальные системы Талицкого поселения"</t>
  </si>
  <si>
    <t>3511007080</t>
  </si>
  <si>
    <t>24-01-2020 00:00:00</t>
  </si>
  <si>
    <t>31165759</t>
  </si>
  <si>
    <t>МУП "Леденгск"</t>
  </si>
  <si>
    <t>3502005992</t>
  </si>
  <si>
    <t>09-03-2017 00:00:00</t>
  </si>
  <si>
    <t>26372010</t>
  </si>
  <si>
    <t>МУП "Рассвет"</t>
  </si>
  <si>
    <t>3502004660</t>
  </si>
  <si>
    <t>10-09-2024 00:00:00</t>
  </si>
  <si>
    <t>31339221</t>
  </si>
  <si>
    <t>МУП "Услуга"</t>
  </si>
  <si>
    <t>3510008429</t>
  </si>
  <si>
    <t>31088878</t>
  </si>
  <si>
    <t>МУП «Тотьма-Водоканал»</t>
  </si>
  <si>
    <t>3518007307</t>
  </si>
  <si>
    <t>12-02-2018 00:00:00</t>
  </si>
  <si>
    <t>26372136</t>
  </si>
  <si>
    <t>МУП ЖКХ "Вологдагорводоканал"</t>
  </si>
  <si>
    <t>3525023596</t>
  </si>
  <si>
    <t>26356220</t>
  </si>
  <si>
    <t>МУП города Череповца "Водоканал"</t>
  </si>
  <si>
    <t>3528000967</t>
  </si>
  <si>
    <t>26382284</t>
  </si>
  <si>
    <t>ООО " Вожегодское коммунальное хозяйство"</t>
  </si>
  <si>
    <t>3506004220</t>
  </si>
  <si>
    <t>31716121</t>
  </si>
  <si>
    <t>ООО "Автотест"</t>
  </si>
  <si>
    <t>3525484999</t>
  </si>
  <si>
    <t>08-02-2023 00:00:00</t>
  </si>
  <si>
    <t>26419382</t>
  </si>
  <si>
    <t>ООО "Аспект"</t>
  </si>
  <si>
    <t>3507304516</t>
  </si>
  <si>
    <t>26372079</t>
  </si>
  <si>
    <t>ООО "Водоканал - Тарнога"</t>
  </si>
  <si>
    <t>3517803842</t>
  </si>
  <si>
    <t>26379765</t>
  </si>
  <si>
    <t>ООО "Водоканал"</t>
  </si>
  <si>
    <t>3503012512</t>
  </si>
  <si>
    <t>26356087</t>
  </si>
  <si>
    <t>3511005565</t>
  </si>
  <si>
    <t>28008064</t>
  </si>
  <si>
    <t>3527018560</t>
  </si>
  <si>
    <t>28489340</t>
  </si>
  <si>
    <t>ООО "Водресурс"</t>
  </si>
  <si>
    <t>3507309458</t>
  </si>
  <si>
    <t>26372074</t>
  </si>
  <si>
    <t>ООО "Востровское ЖКХ"</t>
  </si>
  <si>
    <t>3515003713</t>
  </si>
  <si>
    <t>05-07-2024 00:00:00</t>
  </si>
  <si>
    <t>26372008</t>
  </si>
  <si>
    <t>ООО "Единство"</t>
  </si>
  <si>
    <t>3502004484</t>
  </si>
  <si>
    <t>18-01-2005 00:00:00</t>
  </si>
  <si>
    <t>26371992</t>
  </si>
  <si>
    <t>ООО "ЖКХ Тороповское"</t>
  </si>
  <si>
    <t>3501006369</t>
  </si>
  <si>
    <t>27684279</t>
  </si>
  <si>
    <t>3526028942</t>
  </si>
  <si>
    <t>26429356</t>
  </si>
  <si>
    <t>ООО "Зазеркалье"</t>
  </si>
  <si>
    <t>3525157695</t>
  </si>
  <si>
    <t>26757734</t>
  </si>
  <si>
    <t>ООО "Комсервис"</t>
  </si>
  <si>
    <t>3512005279</t>
  </si>
  <si>
    <t>26755855</t>
  </si>
  <si>
    <t>ООО "Новаторский лесоперерабатывающий комбинат"</t>
  </si>
  <si>
    <t>3526014883</t>
  </si>
  <si>
    <t>30375022</t>
  </si>
  <si>
    <t>ООО "Ресурс"</t>
  </si>
  <si>
    <t>3526030853</t>
  </si>
  <si>
    <t>26442673</t>
  </si>
  <si>
    <t>ООО "Северагрогаз"</t>
  </si>
  <si>
    <t>3518003253</t>
  </si>
  <si>
    <t>28459371</t>
  </si>
  <si>
    <t>ООО "СтройКомплектСервис"</t>
  </si>
  <si>
    <t>3510009077</t>
  </si>
  <si>
    <t>28145240</t>
  </si>
  <si>
    <t>ООО "Череповецкие водохозяйственные системы"</t>
  </si>
  <si>
    <t>3523018840</t>
  </si>
  <si>
    <t>19-08-2024 00:00:00</t>
  </si>
  <si>
    <t>30404874</t>
  </si>
  <si>
    <t>ООО "Шексна-Водоканал"</t>
  </si>
  <si>
    <t>3524015497</t>
  </si>
  <si>
    <t>31588950</t>
  </si>
  <si>
    <t>ООО "ЭкоСервис"</t>
  </si>
  <si>
    <t>3525372639</t>
  </si>
  <si>
    <t>25-03-2016 00:00:00</t>
  </si>
  <si>
    <t>31320071</t>
  </si>
  <si>
    <t>ООО «ВодопроводУстье»</t>
  </si>
  <si>
    <t>3519004845</t>
  </si>
  <si>
    <t>31564915</t>
  </si>
  <si>
    <t>ООО «Горизонт»</t>
  </si>
  <si>
    <t>3503006050</t>
  </si>
  <si>
    <t>14-02-2024 00:00:00</t>
  </si>
  <si>
    <t>31460157</t>
  </si>
  <si>
    <t>ООО «Шекснинская птицефабрика»</t>
  </si>
  <si>
    <t>3524016476</t>
  </si>
  <si>
    <t>26756247</t>
  </si>
  <si>
    <t>СПК "Племзавод Пригородный"</t>
  </si>
  <si>
    <t>3507302501</t>
  </si>
  <si>
    <t>26792530</t>
  </si>
  <si>
    <t>СПК "Тарногский"</t>
  </si>
  <si>
    <t>3517000323</t>
  </si>
  <si>
    <t>26372001</t>
  </si>
  <si>
    <t>СПК (колхоз) "Восход"</t>
  </si>
  <si>
    <t>3502000088</t>
  </si>
  <si>
    <t>26372089</t>
  </si>
  <si>
    <t>СПК (колхоз) "Родина"</t>
  </si>
  <si>
    <t>3518004458</t>
  </si>
  <si>
    <t>26372111</t>
  </si>
  <si>
    <t>СПК (колхоз) "Север"</t>
  </si>
  <si>
    <t>3521000125</t>
  </si>
  <si>
    <t>28003864</t>
  </si>
  <si>
    <t>СПК (колхоз) Майский</t>
  </si>
  <si>
    <t>3530010137</t>
  </si>
  <si>
    <t>353001001</t>
  </si>
  <si>
    <t>28142209</t>
  </si>
  <si>
    <t>СПК (колхоз) имени Ленина</t>
  </si>
  <si>
    <t>3517000676</t>
  </si>
  <si>
    <t>26756026</t>
  </si>
  <si>
    <t>СПК ПКЗ "Вологодский"</t>
  </si>
  <si>
    <t>3507011911</t>
  </si>
  <si>
    <t>31607700</t>
  </si>
  <si>
    <t>МП "Устье - Водоканал"</t>
  </si>
  <si>
    <t>3519005052</t>
  </si>
  <si>
    <t>30375123</t>
  </si>
  <si>
    <t>3502005840</t>
  </si>
  <si>
    <t>01-07-2024 00:00:00</t>
  </si>
  <si>
    <t>26759715</t>
  </si>
  <si>
    <t>ООО "Алеся"</t>
  </si>
  <si>
    <t>3528062498</t>
  </si>
  <si>
    <t>28445628</t>
  </si>
  <si>
    <t>ООО "ВерховажьеСтройСервис"</t>
  </si>
  <si>
    <t>3505005260</t>
  </si>
  <si>
    <t>31352620</t>
  </si>
  <si>
    <t>ООО "Вологодский текстильный комбинат"</t>
  </si>
  <si>
    <t>7725388746</t>
  </si>
  <si>
    <t>772501001</t>
  </si>
  <si>
    <t>28959830</t>
  </si>
  <si>
    <t>ООО "РСХ"</t>
  </si>
  <si>
    <t>4715026815</t>
  </si>
  <si>
    <t>26756406</t>
  </si>
  <si>
    <t>ООО "ТрансСток"</t>
  </si>
  <si>
    <t>3510008570</t>
  </si>
  <si>
    <t>26-02-2024 00:00:00</t>
  </si>
  <si>
    <t>27736531</t>
  </si>
  <si>
    <t>ООО "Череповецтранссервис"</t>
  </si>
  <si>
    <t>3528100665</t>
  </si>
  <si>
    <t>28455368</t>
  </si>
  <si>
    <t>ООО «Вологодский станкостроительный завод»</t>
  </si>
  <si>
    <t>3525192650</t>
  </si>
  <si>
    <t>26379851</t>
  </si>
  <si>
    <t>ФКУ ИК-3  УФСИН России по Вологодской области</t>
  </si>
  <si>
    <t>3526015630</t>
  </si>
  <si>
    <t>27568389</t>
  </si>
  <si>
    <t>АО «Вторресурсы»</t>
  </si>
  <si>
    <t>3528177280</t>
  </si>
  <si>
    <t>31292802</t>
  </si>
  <si>
    <t>ИП Козлов Игорь Николаевич</t>
  </si>
  <si>
    <t>352800207030</t>
  </si>
  <si>
    <t>26382298</t>
  </si>
  <si>
    <t>ММХ ООО "Импульс"</t>
  </si>
  <si>
    <t>3520007551</t>
  </si>
  <si>
    <t>30874985</t>
  </si>
  <si>
    <t>МП "Служба заказчика"</t>
  </si>
  <si>
    <t>3501005830</t>
  </si>
  <si>
    <t>16-04-2004 00:00:00</t>
  </si>
  <si>
    <t>28073157</t>
  </si>
  <si>
    <t>МУП "Жилищно-коммунальное управление г.Никольска"</t>
  </si>
  <si>
    <t>3514007754</t>
  </si>
  <si>
    <t>15-06-2012 00:00:00</t>
  </si>
  <si>
    <t>26768462</t>
  </si>
  <si>
    <t>МУП "Спецавтохозяйство Кирилловского района"</t>
  </si>
  <si>
    <t>3511005188</t>
  </si>
  <si>
    <t>26382306</t>
  </si>
  <si>
    <t>ООО "АВС"</t>
  </si>
  <si>
    <t>3526020439</t>
  </si>
  <si>
    <t>26768492</t>
  </si>
  <si>
    <t>ООО "Агроремтехснаб"</t>
  </si>
  <si>
    <t>3515003150</t>
  </si>
  <si>
    <t>28270443</t>
  </si>
  <si>
    <t>ООО "Аквалайн"</t>
  </si>
  <si>
    <t>3510008972</t>
  </si>
  <si>
    <t>31042706</t>
  </si>
  <si>
    <t>ООО "Вторресурсы Устюжна"</t>
  </si>
  <si>
    <t>3520009157</t>
  </si>
  <si>
    <t>13-10-2015 00:00:00</t>
  </si>
  <si>
    <t>31206518</t>
  </si>
  <si>
    <t>ООО "Зелёный город"</t>
  </si>
  <si>
    <t>3509011272</t>
  </si>
  <si>
    <t>26771008</t>
  </si>
  <si>
    <t>ООО "Комус"</t>
  </si>
  <si>
    <t>3527014621</t>
  </si>
  <si>
    <t>31193836</t>
  </si>
  <si>
    <t>ООО "Полигон"</t>
  </si>
  <si>
    <t>3524016290</t>
  </si>
  <si>
    <t>30408230</t>
  </si>
  <si>
    <t>ООО "Стройкомсервис"</t>
  </si>
  <si>
    <t>3519004570</t>
  </si>
  <si>
    <t>29-09-2015 00:00:00</t>
  </si>
  <si>
    <t>27555287</t>
  </si>
  <si>
    <t>ООО "Тарнога-ЖилКомсервис"</t>
  </si>
  <si>
    <t>3517804109</t>
  </si>
  <si>
    <t>23-03-2011 00:00:00</t>
  </si>
  <si>
    <t>28048852</t>
  </si>
  <si>
    <t>ООО "ЭКОСТАР"</t>
  </si>
  <si>
    <t>3508006745</t>
  </si>
  <si>
    <t>08-10-2012 00:00:00</t>
  </si>
  <si>
    <t>28534991</t>
  </si>
  <si>
    <t>ООО "Экологические технологии"</t>
  </si>
  <si>
    <t>3525252606</t>
  </si>
  <si>
    <t>29-12-2010 00:00:00</t>
  </si>
  <si>
    <t>26768494</t>
  </si>
  <si>
    <t>ООО "Экотранссервис"</t>
  </si>
  <si>
    <t>3528168670</t>
  </si>
  <si>
    <t>15-07-2010 00:00:00</t>
  </si>
  <si>
    <t>30390803</t>
  </si>
  <si>
    <t>ООО "Энергетик"</t>
  </si>
  <si>
    <t>3525289388</t>
  </si>
  <si>
    <t>28872633</t>
  </si>
  <si>
    <t>ООО «Вторресурсы»</t>
  </si>
  <si>
    <t>3528135548</t>
  </si>
  <si>
    <t>31434052</t>
  </si>
  <si>
    <t>ООО «Зелёный город»</t>
  </si>
  <si>
    <t>3525432905</t>
  </si>
  <si>
    <t>31039467</t>
  </si>
  <si>
    <t>ООО «Чистый след»</t>
  </si>
  <si>
    <t>3528213203</t>
  </si>
  <si>
    <t>31-03-2014 00:00:00</t>
  </si>
  <si>
    <t>31291647</t>
  </si>
  <si>
    <t>ооо "Эковтор"</t>
  </si>
  <si>
    <t>3524012545</t>
  </si>
  <si>
    <t>25-01-2010 00:00:00</t>
  </si>
  <si>
    <t>NSRF</t>
  </si>
  <si>
    <t>MR_NAME</t>
  </si>
  <si>
    <t>OKTMO_MR_NAME</t>
  </si>
  <si>
    <t>MO_NAME</t>
  </si>
  <si>
    <t>OKTMO_NAME</t>
  </si>
  <si>
    <t>TYPE</t>
  </si>
  <si>
    <t>MR_ID</t>
  </si>
  <si>
    <t>Бабаевский муниципальный округ</t>
  </si>
  <si>
    <t>19505000</t>
  </si>
  <si>
    <t>муниципальный округ</t>
  </si>
  <si>
    <t>Бабушкинский муниципальный округ</t>
  </si>
  <si>
    <t>19508000</t>
  </si>
  <si>
    <t>Белозерский муниципальный округ</t>
  </si>
  <si>
    <t>19510000</t>
  </si>
  <si>
    <t>Вашкинский муниципальный округ</t>
  </si>
  <si>
    <t>19512000</t>
  </si>
  <si>
    <t>Вашкинский муниципальный район</t>
  </si>
  <si>
    <t>19612000</t>
  </si>
  <si>
    <t>Андреевское</t>
  </si>
  <si>
    <t>19612404</t>
  </si>
  <si>
    <t>сельское поселение</t>
  </si>
  <si>
    <t>муниципальный район</t>
  </si>
  <si>
    <t>Киснемское</t>
  </si>
  <si>
    <t>19612416</t>
  </si>
  <si>
    <t>Липиноборское</t>
  </si>
  <si>
    <t>19612420</t>
  </si>
  <si>
    <t>Великоустюгский муниципальный округ</t>
  </si>
  <si>
    <t>19514000</t>
  </si>
  <si>
    <t>Верховажский муниципальный округ</t>
  </si>
  <si>
    <t>19516000</t>
  </si>
  <si>
    <t>Вожегодский муниципальный округ</t>
  </si>
  <si>
    <t>19518000</t>
  </si>
  <si>
    <t>Вологодский муниципальный округ</t>
  </si>
  <si>
    <t>19520000</t>
  </si>
  <si>
    <t>Вытегорский муниципальный район</t>
  </si>
  <si>
    <t>19622000</t>
  </si>
  <si>
    <t>Алмозерское</t>
  </si>
  <si>
    <t>19622404</t>
  </si>
  <si>
    <t>Андомское</t>
  </si>
  <si>
    <t>19622408</t>
  </si>
  <si>
    <t>Анненское</t>
  </si>
  <si>
    <t>19622412</t>
  </si>
  <si>
    <t>Анхимовское</t>
  </si>
  <si>
    <t>19622416</t>
  </si>
  <si>
    <t>Город Вытегра</t>
  </si>
  <si>
    <t>19622101</t>
  </si>
  <si>
    <t>городское поселение, в состав которого входит город</t>
  </si>
  <si>
    <t>Девятинское</t>
  </si>
  <si>
    <t>19622420</t>
  </si>
  <si>
    <t>Кемское</t>
  </si>
  <si>
    <t>19622428</t>
  </si>
  <si>
    <t>Оштинское</t>
  </si>
  <si>
    <t>19622444</t>
  </si>
  <si>
    <t>городской округ</t>
  </si>
  <si>
    <t>Город Череповец</t>
  </si>
  <si>
    <t>19730000</t>
  </si>
  <si>
    <t>Грязовецкий муниципальный округ</t>
  </si>
  <si>
    <t>19524000</t>
  </si>
  <si>
    <t>Кадуйский муниципальный округ</t>
  </si>
  <si>
    <t>19526000</t>
  </si>
  <si>
    <t>Кирилловский муниципальный округ</t>
  </si>
  <si>
    <t>19528000</t>
  </si>
  <si>
    <t>Кирилловский муниципальный район</t>
  </si>
  <si>
    <t>19628000</t>
  </si>
  <si>
    <t>Алешинское</t>
  </si>
  <si>
    <t>19628404</t>
  </si>
  <si>
    <t>Город Кириллов</t>
  </si>
  <si>
    <t>19628101</t>
  </si>
  <si>
    <t>Липовское</t>
  </si>
  <si>
    <t>19628444</t>
  </si>
  <si>
    <t>Николоторжское</t>
  </si>
  <si>
    <t>19628452</t>
  </si>
  <si>
    <t>Талицкое</t>
  </si>
  <si>
    <t>19628476</t>
  </si>
  <si>
    <t>Ферапонтовское</t>
  </si>
  <si>
    <t>19628480</t>
  </si>
  <si>
    <t>Чарозерское</t>
  </si>
  <si>
    <t>19628484</t>
  </si>
  <si>
    <t>Кичменгско-Городецкий муниципальный округ</t>
  </si>
  <si>
    <t>19530000</t>
  </si>
  <si>
    <t>Междуреченский муниципальный округ</t>
  </si>
  <si>
    <t>19532000</t>
  </si>
  <si>
    <t>Никольский муниципальный округ</t>
  </si>
  <si>
    <t>19534000</t>
  </si>
  <si>
    <t>Никольский муниципальный район</t>
  </si>
  <si>
    <t>19634000</t>
  </si>
  <si>
    <t>Аргуновское</t>
  </si>
  <si>
    <t>19634404</t>
  </si>
  <si>
    <t>Город Никольск</t>
  </si>
  <si>
    <t>19634101</t>
  </si>
  <si>
    <t>Завражское</t>
  </si>
  <si>
    <t>19634420</t>
  </si>
  <si>
    <t>Зеленцовское</t>
  </si>
  <si>
    <t>19634424</t>
  </si>
  <si>
    <t>19634426</t>
  </si>
  <si>
    <t>Краснополянское</t>
  </si>
  <si>
    <t>19634428</t>
  </si>
  <si>
    <t>Никольское</t>
  </si>
  <si>
    <t>19634456</t>
  </si>
  <si>
    <t>Нюксенский муниципальный округ</t>
  </si>
  <si>
    <t>19536000</t>
  </si>
  <si>
    <t>Сокольский муниципальный округ</t>
  </si>
  <si>
    <t>19538000</t>
  </si>
  <si>
    <t>Сямженский муниципальный округ</t>
  </si>
  <si>
    <t>19540000</t>
  </si>
  <si>
    <t>Тарногский муниципальный округ</t>
  </si>
  <si>
    <t>19542000</t>
  </si>
  <si>
    <t>Тотемский муниципальный округ</t>
  </si>
  <si>
    <t>19546000</t>
  </si>
  <si>
    <t>Усть-Кубинский муниципальный округ</t>
  </si>
  <si>
    <t>19548000</t>
  </si>
  <si>
    <t>Устюженский муниципальный округ</t>
  </si>
  <si>
    <t>19550000</t>
  </si>
  <si>
    <t>Харовский муниципальный округ</t>
  </si>
  <si>
    <t>19552000</t>
  </si>
  <si>
    <t>Чагодощенский муниципальный округ</t>
  </si>
  <si>
    <t>19554000</t>
  </si>
  <si>
    <t>Череповецкий муниципальный район</t>
  </si>
  <si>
    <t>19656000</t>
  </si>
  <si>
    <t>Абакановское</t>
  </si>
  <si>
    <t>19656404</t>
  </si>
  <si>
    <t>Воскресенское</t>
  </si>
  <si>
    <t>19656424</t>
  </si>
  <si>
    <t>Ирдоматское</t>
  </si>
  <si>
    <t>19656448</t>
  </si>
  <si>
    <t>Климовское</t>
  </si>
  <si>
    <t>19656450</t>
  </si>
  <si>
    <t>Малечкинское</t>
  </si>
  <si>
    <t>19656432</t>
  </si>
  <si>
    <t>Мяксинское</t>
  </si>
  <si>
    <t>19656464</t>
  </si>
  <si>
    <t>60</t>
  </si>
  <si>
    <t>Нелазское</t>
  </si>
  <si>
    <t>19656470</t>
  </si>
  <si>
    <t>61</t>
  </si>
  <si>
    <t>Судское</t>
  </si>
  <si>
    <t>19656473</t>
  </si>
  <si>
    <t>62</t>
  </si>
  <si>
    <t>Тоншаловское</t>
  </si>
  <si>
    <t>19656477</t>
  </si>
  <si>
    <t>63</t>
  </si>
  <si>
    <t>Уломское</t>
  </si>
  <si>
    <t>19656480</t>
  </si>
  <si>
    <t>64</t>
  </si>
  <si>
    <t>65</t>
  </si>
  <si>
    <t>Югское</t>
  </si>
  <si>
    <t>19656483</t>
  </si>
  <si>
    <t>Ягановское</t>
  </si>
  <si>
    <t>19656484</t>
  </si>
  <si>
    <t>67</t>
  </si>
  <si>
    <t>Яргомжское</t>
  </si>
  <si>
    <t>19656488</t>
  </si>
  <si>
    <t>Шекснинский муниципальный район</t>
  </si>
  <si>
    <t>19658000</t>
  </si>
  <si>
    <t>Ершовское</t>
  </si>
  <si>
    <t>19658412</t>
  </si>
  <si>
    <t>69</t>
  </si>
  <si>
    <t>Железнодорожное</t>
  </si>
  <si>
    <t>19658416</t>
  </si>
  <si>
    <t>70</t>
  </si>
  <si>
    <t>19658428</t>
  </si>
  <si>
    <t>71</t>
  </si>
  <si>
    <t>Нифантовское</t>
  </si>
  <si>
    <t>19658430</t>
  </si>
  <si>
    <t>72</t>
  </si>
  <si>
    <t>Поселок Шексна</t>
  </si>
  <si>
    <t>19658151</t>
  </si>
  <si>
    <t>городское поселение, в состав которого входит поселок</t>
  </si>
  <si>
    <t>73</t>
  </si>
  <si>
    <t>Сиземское</t>
  </si>
  <si>
    <t>19658436</t>
  </si>
  <si>
    <t>74</t>
  </si>
  <si>
    <t>Угольское</t>
  </si>
  <si>
    <t>19658440</t>
  </si>
  <si>
    <t>75</t>
  </si>
  <si>
    <t>Чебсарское</t>
  </si>
  <si>
    <t>19658446</t>
  </si>
  <si>
    <t>76</t>
  </si>
  <si>
    <t>Чуровское</t>
  </si>
  <si>
    <t>19658452</t>
  </si>
  <si>
    <t>77</t>
  </si>
  <si>
    <t>78</t>
  </si>
  <si>
    <t>NUMBER_POINT</t>
  </si>
  <si>
    <t>INVP_NAME</t>
  </si>
  <si>
    <t>INVP_ID</t>
  </si>
  <si>
    <t>L_START_DATE</t>
  </si>
  <si>
    <t>L_END_DATE</t>
  </si>
  <si>
    <t>L_DECISION_NAME</t>
  </si>
  <si>
    <t>L_DECISION_TYPE</t>
  </si>
  <si>
    <t>L_DECISION_NMBR</t>
  </si>
  <si>
    <t>L_DECISION_DATE</t>
  </si>
  <si>
    <t>Инвестиционная программа от 05.10.2022 АО "ВОМЗ" в сфере теплоснабжения по модернизации, реконструкции и техническому перевооружению единого комплекса объектов, на территории городского округа Вологда на 2023-2027 годы</t>
  </si>
  <si>
    <t>01.01.2023</t>
  </si>
  <si>
    <t>31.12.2027</t>
  </si>
  <si>
    <t>Инвестиционная программа от 11.08.2022 ООО "Никольский жилищно-коммунальный сервис" в сфере теплоснабжения по модернизации и реконструкции объектов, на территории сельского поселения Никольское, Никольский муниципальный район на 2022-2023 годы</t>
  </si>
  <si>
    <t>11.08.2022</t>
  </si>
  <si>
    <t>31.12.2023</t>
  </si>
  <si>
    <t>Инвестиционная программа от 14.04.2022 АО "ВОЛОГДАГОРТЕПЛОСЕТЬ" в сфере теплоснабжения по модернизации, реконструкции и техническому перевооружению объектов, на территории городского округа Вологда на 2022-2024 годы</t>
  </si>
  <si>
    <t>14.04.2022</t>
  </si>
  <si>
    <t>31.12.2024</t>
  </si>
  <si>
    <t>Инвестиционная программа от 18.12.2023 ПАО "ТГК-2" в сфере теплоснабжения по модернизации, реконструкции и техническому перевооружению систем коммунальной инфраструктуры, на территории городского округа Вологда на 2024-2028 годы</t>
  </si>
  <si>
    <t>01.01.2024</t>
  </si>
  <si>
    <t>31.12.2028</t>
  </si>
  <si>
    <t>Инвестиционная программа от 28.11.2022 МУП "Коммунальные системы" в сфере теплоснабжения по модернизации и реконструкции систем инженерной инфраструктуры, на территории муниципального округа Сокольский на 2023-2027 годы</t>
  </si>
  <si>
    <t>31.01.2027</t>
  </si>
  <si>
    <t>Инвестиционная программа от 28.12.2020 ООО "Теплосервис" в сфере теплоснабжения по модернизации, реконструкции и техническому перевооружению единого комплекса объектов, на территории сельского поселения Красавинское, Великоустюгский муниципальный район на 2021-2023 годы</t>
  </si>
  <si>
    <t>01.01.2021</t>
  </si>
  <si>
    <t>TER_NAME</t>
  </si>
  <si>
    <t>Территория 1</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</si>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</sst>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2">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75"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190" fontId="0" fillId="0" borderId="12" xfId="0" applyFont="1" applyBorder="1" applyNumberFormat="1">
      <alignment horizontal="left" vertical="center" wrapText="1" indent="1"/>
    </xf>
    <xf numFmtId="0" fontId="29" fillId="0" borderId="0" xfId="0" applyFont="1"/>
    <xf numFmtId="49" fontId="22" fillId="36" borderId="14" xfId="0" applyFont="1" applyFill="1" applyBorder="1" applyNumberFormat="1">
      <alignment horizontal="left" vertical="center" wrapText="1"/>
      <protection locked="0"/>
    </xf>
    <xf numFmtId="0" fontId="29" fillId="0" borderId="0" xfId="0" applyFont="1"/>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190" fontId="0" fillId="35" borderId="12" xfId="0" applyFont="1" applyFill="1" applyBorder="1" applyNumberFormat="1">
      <alignment horizontal="left" vertical="center" wrapText="1" indent="1"/>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089F55-28CA-11F6-9AD8-09806A4E9467}"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35" width="5.421875" customWidth="1"/>
    <col min="2" max="2" style="2635" width="9.140625" customWidth="1"/>
    <col min="3" max="3" style="2635" width="16.421875" customWidth="1"/>
    <col min="4" max="25" style="2635" width="6.28125" customWidth="1"/>
    <col min="26" max="28" style="2635" width="11.00390625"/>
  </cols>
  <sheetData>
    <row customHeight="1" ht="15.75">
      <c r="A1" s="1702"/>
      <c r="B1" s="1703"/>
      <c r="C1" s="1703"/>
      <c r="D1" s="1703"/>
      <c r="E1" s="1703"/>
      <c r="F1" s="1703"/>
      <c r="G1" s="1703"/>
      <c r="H1" s="1703"/>
      <c r="I1" s="1703"/>
      <c r="J1" s="1703"/>
      <c r="K1" s="1703"/>
      <c r="L1" s="1703"/>
      <c r="M1" s="1703"/>
      <c r="N1" s="1703"/>
      <c r="O1" s="1703"/>
      <c r="P1" s="1703"/>
      <c r="Q1" s="1703"/>
      <c r="R1" s="1703"/>
      <c r="S1" s="1703"/>
      <c r="T1" s="1703"/>
      <c r="U1" s="1703"/>
      <c r="V1" s="1703"/>
      <c r="W1" s="1703"/>
      <c r="X1" s="1703"/>
      <c r="Y1" s="1704"/>
      <c r="Z1" s="1703"/>
      <c r="AA1" s="1705" t="s">
        <v>0</v>
      </c>
      <c r="AB1" s="1703"/>
    </row>
    <row customHeight="1" ht="17.25">
      <c r="A2" s="1703"/>
      <c r="B2" s="2079" t="s">
        <v>1</v>
      </c>
      <c r="C2" s="2079"/>
      <c r="D2" s="2079"/>
      <c r="E2" s="2079"/>
      <c r="F2" s="2079"/>
      <c r="G2" s="2079"/>
      <c r="H2" s="2079"/>
      <c r="I2" s="2079"/>
      <c r="J2" s="2079"/>
      <c r="K2" s="2079"/>
      <c r="L2" s="2079"/>
      <c r="M2" s="2079"/>
      <c r="N2" s="2079"/>
      <c r="O2" s="2079"/>
      <c r="P2" s="2079"/>
      <c r="Q2" s="1707"/>
      <c r="R2" s="1707"/>
      <c r="S2" s="1707"/>
      <c r="T2" s="1707"/>
      <c r="U2" s="1707"/>
      <c r="V2" s="1708"/>
      <c r="W2" s="1707"/>
      <c r="X2" s="1707"/>
      <c r="Y2" s="1704"/>
      <c r="Z2" s="1703"/>
      <c r="AA2" s="1705"/>
      <c r="AB2" s="1703"/>
    </row>
    <row customHeight="1" ht="15.75">
      <c r="A3" s="1703"/>
      <c r="B3" s="2080" t="s">
        <v>2</v>
      </c>
      <c r="C3" s="2080"/>
      <c r="D3" s="2080"/>
      <c r="E3" s="2080"/>
      <c r="F3" s="2080"/>
      <c r="G3" s="2080"/>
      <c r="H3" s="2080"/>
      <c r="I3" s="2080"/>
      <c r="J3" s="2080"/>
      <c r="K3" s="2080"/>
      <c r="L3" s="2080"/>
      <c r="M3" s="2080"/>
      <c r="N3" s="2080"/>
      <c r="O3" s="2080"/>
      <c r="P3" s="2080"/>
      <c r="Q3" s="1708"/>
      <c r="R3" s="1708"/>
      <c r="S3" s="1707"/>
      <c r="T3" s="1707"/>
      <c r="U3" s="1707"/>
      <c r="V3" s="1708"/>
      <c r="W3" s="1708"/>
      <c r="X3" s="1708"/>
      <c r="Y3" s="1708"/>
      <c r="Z3" s="1703"/>
      <c r="AA3" s="1705"/>
      <c r="AB3" s="1703"/>
    </row>
    <row customHeight="1" ht="17.25">
      <c r="A4" s="1703"/>
      <c r="B4" s="1709"/>
      <c r="C4" s="1703"/>
      <c r="D4" s="1708"/>
      <c r="E4" s="1708"/>
      <c r="F4" s="1708"/>
      <c r="G4" s="1708"/>
      <c r="H4" s="1708"/>
      <c r="I4" s="1708"/>
      <c r="J4" s="1708"/>
      <c r="K4" s="1708"/>
      <c r="L4" s="1708"/>
      <c r="M4" s="1708"/>
      <c r="N4" s="1708"/>
      <c r="O4" s="1708"/>
      <c r="P4" s="1708"/>
      <c r="Q4" s="1708"/>
      <c r="R4" s="1708"/>
      <c r="S4" s="1708"/>
      <c r="T4" s="1708"/>
      <c r="U4" s="1708"/>
      <c r="V4" s="1708"/>
      <c r="W4" s="1708"/>
      <c r="X4" s="1708"/>
      <c r="Y4" s="1708"/>
      <c r="Z4" s="1703"/>
      <c r="AA4" s="1705"/>
      <c r="AB4" s="1703"/>
    </row>
    <row customHeight="1" ht="22.5">
      <c r="A5" s="1710"/>
      <c r="B5" s="2081"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2"/>
      <c r="D5" s="2082"/>
      <c r="E5" s="2082"/>
      <c r="F5" s="2082"/>
      <c r="G5" s="2082"/>
      <c r="H5" s="2082"/>
      <c r="I5" s="2082"/>
      <c r="J5" s="2082"/>
      <c r="K5" s="2082"/>
      <c r="L5" s="2082"/>
      <c r="M5" s="2082"/>
      <c r="N5" s="2082"/>
      <c r="O5" s="2082"/>
      <c r="P5" s="2082"/>
      <c r="Q5" s="2082"/>
      <c r="R5" s="2082"/>
      <c r="S5" s="2082"/>
      <c r="T5" s="2082"/>
      <c r="U5" s="2082"/>
      <c r="V5" s="2082"/>
      <c r="W5" s="2082"/>
      <c r="X5" s="2082"/>
      <c r="Y5" s="2083"/>
      <c r="Z5" s="1710"/>
      <c r="AA5" s="1705"/>
      <c r="AB5" s="1710"/>
    </row>
    <row customHeight="1" ht="15">
      <c r="A6" s="1711"/>
      <c r="B6" s="2084" t="s">
        <v>3</v>
      </c>
      <c r="C6" s="2085"/>
      <c r="D6" s="1712"/>
      <c r="E6" s="1712"/>
      <c r="F6" s="1712"/>
      <c r="G6" s="1712"/>
      <c r="H6" s="1712"/>
      <c r="I6" s="1712"/>
      <c r="J6" s="1712"/>
      <c r="K6" s="1712"/>
      <c r="L6" s="1712"/>
      <c r="M6" s="1712"/>
      <c r="N6" s="1712"/>
      <c r="O6" s="1712"/>
      <c r="P6" s="1712"/>
      <c r="Q6" s="1712"/>
      <c r="R6" s="1712"/>
      <c r="S6" s="1712"/>
      <c r="T6" s="1712"/>
      <c r="U6" s="1712"/>
      <c r="V6" s="1712"/>
      <c r="W6" s="1712"/>
      <c r="X6" s="1712"/>
      <c r="Y6" s="1713"/>
      <c r="Z6" s="1714"/>
      <c r="AA6" s="1715"/>
      <c r="AB6" s="1715"/>
    </row>
    <row customHeight="1" ht="15">
      <c r="A7" s="1711"/>
      <c r="B7" s="2084"/>
      <c r="C7" s="2085"/>
      <c r="D7" s="1712"/>
      <c r="E7" s="1712"/>
      <c r="F7" s="1716"/>
      <c r="G7" s="1716"/>
      <c r="H7" s="1716"/>
      <c r="I7" s="1716"/>
      <c r="J7" s="1716"/>
      <c r="K7" s="1716"/>
      <c r="L7" s="1716"/>
      <c r="M7" s="1716"/>
      <c r="N7" s="1716"/>
      <c r="O7" s="1712"/>
      <c r="P7" s="1716"/>
      <c r="Q7" s="1716"/>
      <c r="R7" s="1716"/>
      <c r="S7" s="1716"/>
      <c r="T7" s="1716"/>
      <c r="U7" s="1716"/>
      <c r="V7" s="1716"/>
      <c r="W7" s="1716"/>
      <c r="X7" s="1716"/>
      <c r="Y7" s="1713"/>
      <c r="Z7" s="1714"/>
      <c r="AA7" s="1715"/>
      <c r="AB7" s="1715"/>
    </row>
    <row customHeight="1" ht="15">
      <c r="A8" s="1711"/>
      <c r="B8" s="2084"/>
      <c r="C8" s="2085"/>
      <c r="D8" s="1717"/>
      <c r="E8" s="1718" t="s">
        <v>4</v>
      </c>
      <c r="F8" s="2087" t="s">
        <v>5</v>
      </c>
      <c r="G8" s="2088"/>
      <c r="H8" s="2088"/>
      <c r="I8" s="2088"/>
      <c r="J8" s="2088"/>
      <c r="K8" s="2088"/>
      <c r="L8" s="2088"/>
      <c r="M8" s="2088"/>
      <c r="N8" s="1717"/>
      <c r="O8" s="1719" t="s">
        <v>4</v>
      </c>
      <c r="P8" s="2089" t="s">
        <v>6</v>
      </c>
      <c r="Q8" s="2090"/>
      <c r="R8" s="2090"/>
      <c r="S8" s="2090"/>
      <c r="T8" s="2090"/>
      <c r="U8" s="2090"/>
      <c r="V8" s="2090"/>
      <c r="W8" s="2090"/>
      <c r="X8" s="2090"/>
      <c r="Y8" s="1713"/>
      <c r="Z8" s="1714"/>
      <c r="AA8" s="1715"/>
      <c r="AB8" s="1715"/>
    </row>
    <row customHeight="1" ht="15">
      <c r="A9" s="1711"/>
      <c r="B9" s="2084"/>
      <c r="C9" s="2085"/>
      <c r="D9" s="1717"/>
      <c r="E9" s="1720" t="s">
        <v>4</v>
      </c>
      <c r="F9" s="2087" t="s">
        <v>7</v>
      </c>
      <c r="G9" s="2088"/>
      <c r="H9" s="2088"/>
      <c r="I9" s="2088"/>
      <c r="J9" s="2088"/>
      <c r="K9" s="2088"/>
      <c r="L9" s="2088"/>
      <c r="M9" s="2088"/>
      <c r="N9" s="1717"/>
      <c r="O9" s="1721" t="s">
        <v>4</v>
      </c>
      <c r="P9" s="2089" t="s">
        <v>8</v>
      </c>
      <c r="Q9" s="2090"/>
      <c r="R9" s="2090"/>
      <c r="S9" s="2090"/>
      <c r="T9" s="2090"/>
      <c r="U9" s="2090"/>
      <c r="V9" s="2090"/>
      <c r="W9" s="2090"/>
      <c r="X9" s="2090"/>
      <c r="Y9" s="1713"/>
      <c r="Z9" s="1714"/>
      <c r="AA9" s="1715"/>
      <c r="AB9" s="1715"/>
    </row>
    <row customHeight="1" ht="30">
      <c r="A10" s="1711"/>
      <c r="B10" s="2084"/>
      <c r="C10" s="2086"/>
      <c r="D10" s="1722"/>
      <c r="E10" s="1723"/>
      <c r="F10" s="1716"/>
      <c r="G10" s="1716"/>
      <c r="H10" s="1716"/>
      <c r="I10" s="1716"/>
      <c r="J10" s="1716"/>
      <c r="K10" s="1716"/>
      <c r="L10" s="1716"/>
      <c r="M10" s="1716"/>
      <c r="N10" s="1716"/>
      <c r="O10" s="1723"/>
      <c r="P10" s="1716"/>
      <c r="Q10" s="1716"/>
      <c r="R10" s="1716"/>
      <c r="S10" s="1716"/>
      <c r="T10" s="1716"/>
      <c r="U10" s="1716"/>
      <c r="V10" s="1716"/>
      <c r="W10" s="1716"/>
      <c r="X10" s="1716"/>
      <c r="Y10" s="1713"/>
      <c r="Z10" s="1714"/>
      <c r="AA10" s="1715"/>
      <c r="AB10" s="1715"/>
    </row>
    <row customHeight="1" ht="19.5">
      <c r="A11" s="1711"/>
      <c r="B11" s="2091" t="s">
        <v>9</v>
      </c>
      <c r="C11" s="2092"/>
      <c r="D11" s="1717"/>
      <c r="E11" s="1724"/>
      <c r="F11" s="1724"/>
      <c r="G11" s="1724"/>
      <c r="H11" s="1724"/>
      <c r="I11" s="1724"/>
      <c r="J11" s="1724"/>
      <c r="K11" s="1724"/>
      <c r="L11" s="1724"/>
      <c r="M11" s="1724"/>
      <c r="N11" s="1724"/>
      <c r="O11" s="1724"/>
      <c r="P11" s="1724"/>
      <c r="Q11" s="1724"/>
      <c r="R11" s="1724"/>
      <c r="S11" s="1724"/>
      <c r="T11" s="1724"/>
      <c r="U11" s="1724"/>
      <c r="V11" s="1724"/>
      <c r="W11" s="1724"/>
      <c r="X11" s="1724"/>
      <c r="Y11" s="1713"/>
      <c r="Z11" s="1714"/>
      <c r="AA11" s="1715"/>
      <c r="AB11" s="1715"/>
    </row>
    <row customHeight="1" ht="69">
      <c r="A12" s="1711"/>
      <c r="B12" s="2084"/>
      <c r="C12" s="2086"/>
      <c r="D12" s="1725"/>
      <c r="E12" s="2088" t="s">
        <v>10</v>
      </c>
      <c r="F12" s="2088"/>
      <c r="G12" s="2088"/>
      <c r="H12" s="2088"/>
      <c r="I12" s="2088"/>
      <c r="J12" s="2088"/>
      <c r="K12" s="2088"/>
      <c r="L12" s="2088"/>
      <c r="M12" s="2088"/>
      <c r="N12" s="2088"/>
      <c r="O12" s="2088"/>
      <c r="P12" s="2088"/>
      <c r="Q12" s="2088"/>
      <c r="R12" s="2088"/>
      <c r="S12" s="2088"/>
      <c r="T12" s="2088"/>
      <c r="U12" s="2088"/>
      <c r="V12" s="2088"/>
      <c r="W12" s="2088"/>
      <c r="X12" s="2088"/>
      <c r="Y12" s="1713"/>
      <c r="Z12" s="1714"/>
      <c r="AA12" s="1715"/>
      <c r="AB12" s="1715"/>
    </row>
    <row customHeight="1" ht="15">
      <c r="A13" s="1711"/>
      <c r="B13" s="2091" t="s">
        <v>11</v>
      </c>
      <c r="C13" s="2092"/>
      <c r="D13" s="1712"/>
      <c r="E13" s="1724"/>
      <c r="F13" s="1724"/>
      <c r="G13" s="1724"/>
      <c r="H13" s="1724"/>
      <c r="I13" s="1724"/>
      <c r="J13" s="1724"/>
      <c r="K13" s="1724"/>
      <c r="L13" s="1724"/>
      <c r="M13" s="1724"/>
      <c r="N13" s="1724"/>
      <c r="O13" s="1724"/>
      <c r="P13" s="1724"/>
      <c r="Q13" s="1724"/>
      <c r="R13" s="1724"/>
      <c r="S13" s="1724"/>
      <c r="T13" s="1724"/>
      <c r="U13" s="1724"/>
      <c r="V13" s="1724"/>
      <c r="W13" s="1724"/>
      <c r="X13" s="1724"/>
      <c r="Y13" s="1713"/>
      <c r="Z13" s="1714"/>
      <c r="AA13" s="1715"/>
      <c r="AB13" s="1715"/>
    </row>
    <row customHeight="1" ht="57">
      <c r="A14" s="1711"/>
      <c r="B14" s="2084"/>
      <c r="C14" s="2085"/>
      <c r="D14" s="1717"/>
      <c r="E14" s="2095" t="s">
        <v>12</v>
      </c>
      <c r="F14" s="2095"/>
      <c r="G14" s="2095"/>
      <c r="H14" s="2095"/>
      <c r="I14" s="2095"/>
      <c r="J14" s="2095"/>
      <c r="K14" s="2095"/>
      <c r="L14" s="2095"/>
      <c r="M14" s="2095"/>
      <c r="N14" s="2095"/>
      <c r="O14" s="2095"/>
      <c r="P14" s="2095"/>
      <c r="Q14" s="2095"/>
      <c r="R14" s="2095"/>
      <c r="S14" s="2095"/>
      <c r="T14" s="2095"/>
      <c r="U14" s="2095"/>
      <c r="V14" s="2095"/>
      <c r="W14" s="2095"/>
      <c r="X14" s="2095"/>
      <c r="Y14" s="1713"/>
      <c r="Z14" s="1714"/>
      <c r="AA14" s="1715"/>
      <c r="AB14" s="1715"/>
    </row>
    <row customHeight="1" ht="16.5">
      <c r="A15" s="1711"/>
      <c r="B15" s="2093"/>
      <c r="C15" s="2094"/>
      <c r="D15" s="1726"/>
      <c r="E15" s="1727"/>
      <c r="F15" s="1727"/>
      <c r="G15" s="1727"/>
      <c r="H15" s="1727"/>
      <c r="I15" s="1727"/>
      <c r="J15" s="1727"/>
      <c r="K15" s="1727"/>
      <c r="L15" s="1727"/>
      <c r="M15" s="1727"/>
      <c r="N15" s="1727"/>
      <c r="O15" s="1727"/>
      <c r="P15" s="1727"/>
      <c r="Q15" s="1727"/>
      <c r="R15" s="1727"/>
      <c r="S15" s="1727"/>
      <c r="T15" s="1727"/>
      <c r="U15" s="1727"/>
      <c r="V15" s="1727"/>
      <c r="W15" s="1727"/>
      <c r="X15" s="1727"/>
      <c r="Y15" s="1728"/>
      <c r="Z15" s="1714"/>
      <c r="AA15" s="1729"/>
      <c r="AB15" s="1715"/>
    </row>
    <row customHeight="1" ht="95.25">
      <c r="A16" s="1703"/>
      <c r="B16" s="2095"/>
      <c r="C16" s="2096"/>
      <c r="D16" s="2096"/>
      <c r="E16" s="2096"/>
      <c r="F16" s="2096"/>
      <c r="G16" s="2096"/>
      <c r="H16" s="2096"/>
      <c r="I16" s="2096"/>
      <c r="J16" s="2096"/>
      <c r="K16" s="2096"/>
      <c r="L16" s="2096"/>
      <c r="M16" s="2096"/>
      <c r="N16" s="2096"/>
      <c r="O16" s="2096"/>
      <c r="P16" s="2096"/>
      <c r="Q16" s="2096"/>
      <c r="R16" s="2096"/>
      <c r="S16" s="2096"/>
      <c r="T16" s="2096"/>
      <c r="U16" s="2096"/>
      <c r="V16" s="2096"/>
      <c r="W16" s="2096"/>
      <c r="X16" s="2096"/>
      <c r="Y16" s="2096"/>
      <c r="Z16" s="1703"/>
      <c r="AA16" s="1705"/>
      <c r="AB16" s="1703"/>
    </row>
    <row customHeight="1" ht="14.25">
      <c r="A17" s="1703"/>
      <c r="B17" s="1703"/>
      <c r="C17" s="1703"/>
      <c r="D17" s="1703"/>
      <c r="E17" s="1703"/>
      <c r="F17" s="1703"/>
      <c r="G17" s="1703"/>
      <c r="H17" s="1703"/>
      <c r="I17" s="1703"/>
      <c r="J17" s="1703"/>
      <c r="K17" s="1703"/>
      <c r="L17" s="1703"/>
      <c r="M17" s="1703"/>
      <c r="N17" s="1703"/>
      <c r="O17" s="1703"/>
      <c r="P17" s="1703"/>
      <c r="Q17" s="1703"/>
      <c r="R17" s="1703"/>
      <c r="S17" s="1703"/>
      <c r="T17" s="1703"/>
      <c r="U17" s="1703"/>
      <c r="V17" s="1703"/>
      <c r="W17" s="1703"/>
      <c r="X17" s="1703"/>
      <c r="Y17" s="1704"/>
      <c r="Z17" s="1703"/>
      <c r="AA17" s="1705"/>
      <c r="AB17" s="1703"/>
    </row>
    <row customHeight="1" ht="14.25">
      <c r="A18" s="1703"/>
      <c r="B18" s="1703"/>
      <c r="C18" s="1703"/>
      <c r="D18" s="1703"/>
      <c r="E18" s="1703"/>
      <c r="F18" s="1703"/>
      <c r="G18" s="1703"/>
      <c r="H18" s="1703"/>
      <c r="I18" s="1703"/>
      <c r="J18" s="1703"/>
      <c r="K18" s="1703"/>
      <c r="L18" s="1703"/>
      <c r="M18" s="1703"/>
      <c r="N18" s="1703"/>
      <c r="O18" s="1703"/>
      <c r="P18" s="1703"/>
      <c r="Q18" s="1703"/>
      <c r="R18" s="1703"/>
      <c r="S18" s="1703"/>
      <c r="T18" s="1703"/>
      <c r="U18" s="1703"/>
      <c r="V18" s="1703"/>
      <c r="W18" s="1703"/>
      <c r="X18" s="1703"/>
      <c r="Y18" s="1704"/>
      <c r="Z18" s="1703"/>
      <c r="AA18" s="1705"/>
      <c r="AB18" s="1703"/>
    </row>
    <row customHeight="1" ht="14.25">
      <c r="A19" s="1703"/>
      <c r="B19" s="1703"/>
      <c r="C19" s="1703"/>
      <c r="D19" s="1703"/>
      <c r="E19" s="1703"/>
      <c r="F19" s="1703"/>
      <c r="G19" s="1703"/>
      <c r="H19" s="1703"/>
      <c r="I19" s="1703"/>
      <c r="J19" s="1703"/>
      <c r="K19" s="1703"/>
      <c r="L19" s="1703"/>
      <c r="M19" s="1703"/>
      <c r="N19" s="1703"/>
      <c r="O19" s="1703"/>
      <c r="P19" s="1703"/>
      <c r="Q19" s="1703"/>
      <c r="R19" s="1703"/>
      <c r="S19" s="1703"/>
      <c r="T19" s="1703"/>
      <c r="U19" s="1703"/>
      <c r="V19" s="1703"/>
      <c r="W19" s="1703"/>
      <c r="X19" s="1703"/>
      <c r="Y19" s="1704"/>
      <c r="Z19" s="1703"/>
      <c r="AA19" s="1705"/>
      <c r="AB19" s="1703"/>
    </row>
    <row customHeight="1" ht="14.25">
      <c r="A20" s="1703"/>
      <c r="B20" s="1703"/>
      <c r="C20" s="1703"/>
      <c r="D20" s="1703"/>
      <c r="E20" s="1703"/>
      <c r="F20" s="1703"/>
      <c r="G20" s="1703"/>
      <c r="H20" s="1703"/>
      <c r="I20" s="1703"/>
      <c r="J20" s="1703"/>
      <c r="K20" s="1703"/>
      <c r="L20" s="1703"/>
      <c r="M20" s="1703"/>
      <c r="N20" s="1703"/>
      <c r="O20" s="1703"/>
      <c r="P20" s="1703"/>
      <c r="Q20" s="1703"/>
      <c r="R20" s="1703"/>
      <c r="S20" s="1703"/>
      <c r="T20" s="1703"/>
      <c r="U20" s="1703"/>
      <c r="V20" s="1703"/>
      <c r="W20" s="1703"/>
      <c r="X20" s="1703"/>
      <c r="Y20" s="1704"/>
      <c r="Z20" s="1703"/>
      <c r="AA20" s="1705"/>
      <c r="AB20" s="1703"/>
    </row>
    <row customHeight="1" ht="14.25">
      <c r="A21" s="1703"/>
      <c r="B21" s="1703"/>
      <c r="C21" s="1703"/>
      <c r="D21" s="1703"/>
      <c r="E21" s="1703"/>
      <c r="F21" s="1703"/>
      <c r="G21" s="1703"/>
      <c r="H21" s="1703"/>
      <c r="I21" s="1703"/>
      <c r="J21" s="1703"/>
      <c r="K21" s="1703"/>
      <c r="L21" s="1703"/>
      <c r="M21" s="1703"/>
      <c r="N21" s="1703"/>
      <c r="O21" s="1703"/>
      <c r="P21" s="1703"/>
      <c r="Q21" s="1703"/>
      <c r="R21" s="1703"/>
      <c r="S21" s="1703"/>
      <c r="T21" s="1703"/>
      <c r="U21" s="1703"/>
      <c r="V21" s="1703"/>
      <c r="W21" s="1703"/>
      <c r="X21" s="1703"/>
      <c r="Y21" s="1704"/>
      <c r="Z21" s="1703"/>
      <c r="AA21" s="1705"/>
      <c r="AB21" s="1703"/>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760A8D-C6A5-A9F8-71C6-937AC3E31C39}"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4" width="9.140625" hidden="1" customWidth="1"/>
    <col min="2" max="3" style="1637" width="9.140625" hidden="1" customWidth="1"/>
    <col min="4" max="4" style="1844" width="3.00390625" customWidth="1"/>
    <col min="5" max="5" style="1637" width="6.00390625" customWidth="1"/>
    <col min="6" max="6" style="1637" width="1.7109375" hidden="1" customWidth="1"/>
    <col min="7" max="8" style="1637" width="30.00390625" customWidth="1"/>
    <col min="9" max="9" style="1637" width="8.00390625" customWidth="1"/>
    <col min="10" max="10" style="1637" width="12.140625" customWidth="1"/>
    <col min="11" max="11" style="1637" width="46.00390625" customWidth="1"/>
    <col min="12" max="12" style="1637" width="100.00390625" customWidth="1"/>
    <col min="13" max="13" style="1821" width="7.00390625" customWidth="1"/>
    <col min="14" max="22" style="1637" width="10.00390625" customWidth="1"/>
    <col min="23" max="23" style="1637" width="10.57421875" hidden="1"/>
  </cols>
  <sheetData>
    <row s="1644" customFormat="1" customHeight="1" ht="5.25" hidden="1">
      <c r="C1" s="513"/>
      <c r="D1" s="496"/>
      <c r="F1" s="513"/>
      <c r="G1" s="491" t="s">
        <v>83</v>
      </c>
      <c r="H1" s="491" t="s">
        <v>84</v>
      </c>
      <c r="I1" s="491" t="s">
        <v>85</v>
      </c>
      <c r="P1" s="491" t="s">
        <v>83</v>
      </c>
      <c r="Q1" s="491" t="s">
        <v>84</v>
      </c>
      <c r="R1" s="491" t="s">
        <v>85</v>
      </c>
      <c r="W1" s="491" t="s">
        <v>14</v>
      </c>
    </row>
    <row s="1644" customFormat="1" customHeight="1" ht="5.25" hidden="1">
      <c r="C2" s="513"/>
      <c r="D2" s="496"/>
      <c r="F2" s="513"/>
      <c r="W2" s="491">
        <v>0</v>
      </c>
    </row>
    <row s="1614" customFormat="1" customHeight="1" ht="5.25">
      <c r="A3" s="481"/>
      <c r="D3" s="488"/>
      <c r="E3" s="483"/>
      <c r="F3" s="483"/>
      <c r="G3" s="483"/>
      <c r="H3" s="483"/>
      <c r="I3" s="484"/>
      <c r="J3" s="485"/>
      <c r="K3" s="485"/>
      <c r="L3" s="485"/>
      <c r="W3" s="482">
        <v>5</v>
      </c>
    </row>
    <row customHeight="1" ht="23.25">
      <c r="D4" s="452"/>
      <c r="E4" s="2240" t="s">
        <v>388</v>
      </c>
      <c r="F4" s="2240"/>
      <c r="G4" s="2241"/>
      <c r="H4" s="2241"/>
      <c r="I4" s="2242"/>
      <c r="J4" s="493"/>
      <c r="K4" s="455"/>
      <c r="L4" s="455"/>
      <c r="W4" s="449">
        <v>22</v>
      </c>
    </row>
    <row s="1637" customFormat="1" customHeight="1" ht="18">
      <c r="A5" s="761"/>
      <c r="D5" s="824"/>
      <c r="E5" s="2216" t="str">
        <f>IF(org=0,"Не определено",org)</f>
        <v>ПАО "ТГК-2"</v>
      </c>
      <c r="F5" s="2216"/>
      <c r="G5" s="2217"/>
      <c r="H5" s="2217"/>
      <c r="I5" s="2218"/>
      <c r="J5" s="493"/>
      <c r="K5" s="455"/>
      <c r="L5" s="455"/>
      <c r="M5" s="509"/>
      <c r="W5" s="760">
        <v>17</v>
      </c>
    </row>
    <row s="1614" customFormat="1" customHeight="1" ht="11.549999999999999">
      <c r="A6" s="481"/>
      <c r="D6" s="488"/>
      <c r="E6" s="483"/>
      <c r="F6" s="483"/>
      <c r="G6" s="486"/>
      <c r="H6" s="486"/>
      <c r="I6" s="487"/>
      <c r="J6" s="487"/>
      <c r="K6" s="754"/>
      <c r="L6" s="487"/>
      <c r="W6" s="482">
        <v>11</v>
      </c>
    </row>
    <row customHeight="1" ht="14.699999999999998">
      <c r="D7" s="452"/>
      <c r="E7" s="2210" t="s">
        <v>300</v>
      </c>
      <c r="F7" s="2210"/>
      <c r="G7" s="2211"/>
      <c r="H7" s="2211"/>
      <c r="I7" s="2211"/>
      <c r="J7" s="2211"/>
      <c r="K7" s="2211"/>
      <c r="L7" s="2225" t="s">
        <v>301</v>
      </c>
      <c r="W7" s="449">
        <v>14</v>
      </c>
    </row>
    <row customHeight="1" ht="48.29999999999999">
      <c r="D8" s="452"/>
      <c r="E8" s="475" t="s">
        <v>88</v>
      </c>
      <c r="F8" s="825"/>
      <c r="G8" s="467" t="s">
        <v>86</v>
      </c>
      <c r="H8" s="467" t="s">
        <v>87</v>
      </c>
      <c r="I8" s="416" t="s">
        <v>85</v>
      </c>
      <c r="J8" s="416" t="s">
        <v>389</v>
      </c>
      <c r="K8" s="416" t="s">
        <v>390</v>
      </c>
      <c r="L8" s="2225"/>
      <c r="W8" s="449">
        <v>46</v>
      </c>
    </row>
    <row customHeight="1" ht="12" hidden="1">
      <c r="D9" s="489"/>
      <c r="E9" s="495"/>
      <c r="F9" s="832"/>
      <c r="G9" s="495"/>
      <c r="H9" s="495"/>
      <c r="I9" s="495"/>
      <c r="J9" s="495"/>
      <c r="K9" s="495"/>
      <c r="L9" s="495"/>
      <c r="M9" s="449"/>
      <c r="W9" s="449">
        <v>0</v>
      </c>
    </row>
    <row customHeight="1" ht="14.25" hidden="1">
      <c r="A10" s="507"/>
      <c r="B10" s="507"/>
      <c r="D10" s="508"/>
      <c r="E10" s="514">
        <v>0</v>
      </c>
      <c r="F10" s="823"/>
      <c r="G10" s="510"/>
      <c r="H10" s="510"/>
      <c r="I10" s="510"/>
      <c r="J10" s="510"/>
      <c r="K10" s="510"/>
      <c r="L10" s="2223" t="s">
        <v>391</v>
      </c>
      <c r="M10" s="509"/>
      <c r="N10" s="507"/>
      <c r="O10" s="507"/>
      <c r="P10" s="507"/>
      <c r="Q10" s="507"/>
      <c r="R10" s="507"/>
      <c r="S10" s="507"/>
      <c r="T10" s="507"/>
      <c r="U10" s="507"/>
      <c r="V10" s="507"/>
      <c r="W10" s="449">
        <v>0</v>
      </c>
    </row>
    <row customHeight="1" ht="15" hidden="1">
      <c r="A11" s="2101"/>
      <c r="B11" s="506"/>
      <c r="C11" s="506"/>
      <c r="D11" s="867"/>
      <c r="E11" s="515"/>
      <c r="F11" s="515"/>
      <c r="G11" s="515"/>
      <c r="H11" s="515"/>
      <c r="I11" s="516"/>
      <c r="J11" s="517"/>
      <c r="K11" s="715"/>
      <c r="L11" s="2243"/>
      <c r="M11" s="513"/>
      <c r="N11" s="513"/>
      <c r="O11" s="513"/>
      <c r="P11" s="518"/>
      <c r="Q11" s="518"/>
      <c r="R11" s="519"/>
      <c r="S11" s="513"/>
      <c r="T11" s="513"/>
      <c r="U11" s="513"/>
      <c r="V11" s="513"/>
      <c r="W11" s="449">
        <v>0</v>
      </c>
    </row>
    <row s="1614" customFormat="1" customHeight="1" ht="15">
      <c r="A12" s="2101"/>
      <c r="B12" s="506"/>
      <c r="C12" s="506"/>
      <c r="D12" s="868"/>
      <c r="E12" s="825">
        <v>1</v>
      </c>
      <c r="F12" s="866">
        <v>23</v>
      </c>
      <c r="G12" s="865"/>
      <c r="H12" s="795"/>
      <c r="I12" s="793"/>
      <c r="J12" s="522" t="s">
        <v>66</v>
      </c>
      <c r="K12" s="1166" t="s">
        <v>22</v>
      </c>
      <c r="L12" s="2243"/>
      <c r="M12" s="513"/>
      <c r="N12" s="513"/>
      <c r="O12" s="513"/>
      <c r="P12" s="518" t="s">
        <v>392</v>
      </c>
      <c r="Q12" s="518" t="s">
        <v>393</v>
      </c>
      <c r="R12" s="519" t="s">
        <v>394</v>
      </c>
      <c r="S12" s="513" t="s">
        <v>395</v>
      </c>
      <c r="T12" s="513"/>
      <c r="U12" s="513"/>
      <c r="V12" s="513"/>
      <c r="W12" s="482">
        <v>14</v>
      </c>
    </row>
    <row customHeight="1" ht="15.75">
      <c r="A13" s="2101"/>
      <c r="B13" s="507"/>
      <c r="D13" s="508"/>
      <c r="E13" s="407"/>
      <c r="F13" s="531"/>
      <c r="G13" s="418" t="s">
        <v>102</v>
      </c>
      <c r="H13" s="406"/>
      <c r="I13" s="406"/>
      <c r="J13" s="406"/>
      <c r="K13" s="405"/>
      <c r="L13" s="2224"/>
      <c r="M13" s="511"/>
      <c r="N13" s="507"/>
      <c r="O13" s="507"/>
      <c r="P13" s="507"/>
      <c r="Q13" s="507"/>
      <c r="R13" s="507"/>
      <c r="S13" s="507"/>
      <c r="T13" s="507"/>
      <c r="U13" s="507"/>
      <c r="V13" s="507"/>
      <c r="W13" s="449">
        <v>15</v>
      </c>
    </row>
    <row customHeight="1" ht="11.549999999999999">
      <c r="A14" s="481"/>
      <c r="B14" s="482"/>
      <c r="C14" s="482"/>
      <c r="D14" s="497"/>
      <c r="E14" s="482"/>
      <c r="F14" s="482"/>
      <c r="G14" s="482"/>
      <c r="H14" s="482"/>
      <c r="I14" s="482"/>
      <c r="J14" s="482"/>
      <c r="K14" s="482"/>
      <c r="L14" s="482"/>
      <c r="M14" s="482"/>
      <c r="N14" s="482"/>
      <c r="O14" s="482"/>
      <c r="P14" s="482"/>
      <c r="Q14" s="482"/>
      <c r="R14" s="482"/>
      <c r="S14" s="482"/>
      <c r="T14" s="482"/>
      <c r="U14" s="482"/>
      <c r="V14" s="482"/>
      <c r="W14" s="449">
        <v>11</v>
      </c>
    </row>
    <row customHeight="1" ht="14.699999999999998">
      <c r="D15" s="468"/>
      <c r="E15" s="338"/>
      <c r="F15" s="338"/>
      <c r="G15" s="66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8"/>
      <c r="I15" s="468"/>
      <c r="J15" s="468"/>
      <c r="K15" s="468"/>
      <c r="L15" s="468"/>
      <c r="W15" s="449">
        <v>14</v>
      </c>
    </row>
    <row customHeight="1" ht="14.699999999999998">
      <c r="W16" s="449">
        <v>14</v>
      </c>
    </row>
    <row customHeight="1" ht="14.699999999999998">
      <c r="W17" s="449">
        <v>14</v>
      </c>
    </row>
    <row customHeight="1" ht="14.699999999999998">
      <c r="G18" s="507"/>
      <c r="W18" s="449">
        <v>14</v>
      </c>
    </row>
    <row customHeight="1" ht="22.5" hidden="1">
      <c r="A19" s="451" t="s">
        <v>82</v>
      </c>
      <c r="B19" s="449">
        <v>0</v>
      </c>
      <c r="C19" s="760">
        <v>0</v>
      </c>
      <c r="D19" s="453">
        <v>3</v>
      </c>
      <c r="E19" s="449">
        <v>6</v>
      </c>
      <c r="F19" s="760">
        <v>0</v>
      </c>
      <c r="G19" s="449">
        <v>30</v>
      </c>
      <c r="H19" s="449">
        <v>30</v>
      </c>
      <c r="I19" s="449">
        <v>8</v>
      </c>
      <c r="J19" s="449">
        <v>12</v>
      </c>
      <c r="K19" s="449">
        <v>46</v>
      </c>
      <c r="L19" s="449">
        <v>100</v>
      </c>
      <c r="M19" s="454">
        <v>7</v>
      </c>
      <c r="N19" s="449">
        <v>10</v>
      </c>
      <c r="O19" s="449">
        <v>10</v>
      </c>
      <c r="P19" s="449">
        <v>10</v>
      </c>
      <c r="Q19" s="449">
        <v>10</v>
      </c>
      <c r="R19" s="449">
        <v>10</v>
      </c>
      <c r="S19" s="449">
        <v>10</v>
      </c>
      <c r="T19" s="449">
        <v>10</v>
      </c>
      <c r="U19" s="449">
        <v>10</v>
      </c>
      <c r="V19" s="449">
        <v>10</v>
      </c>
      <c r="W19" s="449">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5E708E-A1FB-B9FE-478B-C8CADC030682}"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11">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06"/>
      <c r="Q3" s="354"/>
      <c r="R3" s="355"/>
      <c r="S3" s="1311">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11">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11">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403</v>
      </c>
      <c r="M6" s="539"/>
      <c r="P6" s="2259">
        <v>1</v>
      </c>
      <c r="Q6" s="1307"/>
      <c r="R6" s="358"/>
      <c r="S6" s="1311">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406</v>
      </c>
      <c r="M7" s="539"/>
      <c r="N7" s="1368"/>
      <c r="P7" s="2259"/>
      <c r="Q7" s="2259">
        <v>1</v>
      </c>
      <c r="R7" s="359"/>
      <c r="S7" s="1311">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409</v>
      </c>
      <c r="M8" s="539"/>
      <c r="N8" s="1368"/>
      <c r="O8" s="1368"/>
      <c r="P8" s="2259"/>
      <c r="Q8" s="2259"/>
      <c r="R8" s="359">
        <v>1</v>
      </c>
      <c r="S8" s="1311">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08"/>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07"/>
      <c r="R11" s="358"/>
      <c r="S11" s="1280"/>
      <c r="T11" s="289"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413</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P17" s="1313"/>
      <c r="AD17" s="1362"/>
      <c r="AE17" s="1362"/>
      <c r="AF17" s="1362"/>
      <c r="AG17" s="1363"/>
      <c r="AH17" s="2269"/>
      <c r="AI17" s="2270" t="s">
        <v>66</v>
      </c>
      <c r="AJ17" s="2269"/>
      <c r="AK17" s="2270" t="s">
        <v>66</v>
      </c>
      <c r="AS17" s="1157">
        <v>0</v>
      </c>
    </row>
    <row customHeight="1" ht="14.25" hidden="1">
      <c r="P18" s="1313"/>
      <c r="AD18" s="1362"/>
      <c r="AE18" s="1362"/>
      <c r="AF18" s="1362"/>
      <c r="AG18" s="330" t="str">
        <f>AH17&amp;"-"&amp;AJ17</f>
        <v>-</v>
      </c>
      <c r="AH18" s="2270"/>
      <c r="AI18" s="2270"/>
      <c r="AJ18" s="2270"/>
      <c r="AK18" s="2270"/>
      <c r="AS18" s="1157">
        <v>0</v>
      </c>
    </row>
    <row customHeight="1" ht="14.25" hidden="1">
      <c r="P19" s="1313"/>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P23" s="1313"/>
      <c r="AS23" s="1157">
        <v>0</v>
      </c>
    </row>
    <row customHeight="1" ht="14.25" hidden="1">
      <c r="O24" s="1366"/>
      <c r="P24" s="1313"/>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P33" s="1330"/>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221"/>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5.699999999999996">
      <c r="Q40" s="378"/>
      <c r="R40" s="378"/>
      <c r="S40" s="2275"/>
      <c r="T40" s="2211"/>
      <c r="U40" s="1033"/>
      <c r="V40" s="2262" t="s">
        <v>433</v>
      </c>
      <c r="W40" s="2612" t="s">
        <v>434</v>
      </c>
      <c r="X40" s="2264" t="s">
        <v>435</v>
      </c>
      <c r="Y40" s="2265"/>
      <c r="Z40" s="2264" t="s">
        <v>436</v>
      </c>
      <c r="AA40" s="2271"/>
      <c r="AB40" s="2265"/>
      <c r="AC40" s="2280"/>
      <c r="AD40" s="2262" t="s">
        <v>433</v>
      </c>
      <c r="AE40" s="2285" t="s">
        <v>434</v>
      </c>
      <c r="AF40" s="2264" t="s">
        <v>435</v>
      </c>
      <c r="AG40" s="2265"/>
      <c r="AH40" s="2264" t="s">
        <v>436</v>
      </c>
      <c r="AI40" s="2271"/>
      <c r="AJ40" s="2265"/>
      <c r="AK40" s="2280"/>
      <c r="AL40" s="2283"/>
      <c r="AM40" s="2129"/>
      <c r="AS40" s="1157">
        <v>34</v>
      </c>
    </row>
    <row customHeight="1" ht="35.699999999999996">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223" t="s">
        <v>446</v>
      </c>
      <c r="AA41" s="2272" t="s">
        <v>447</v>
      </c>
      <c r="AB41" s="2273"/>
      <c r="AC41" s="2281"/>
      <c r="AD41" s="2263"/>
      <c r="AE41" s="2286"/>
      <c r="AF41" s="1224" t="s">
        <v>444</v>
      </c>
      <c r="AG41" s="1224" t="s">
        <v>445</v>
      </c>
      <c r="AH41" s="1315"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258">
        <f>OFFSET(V42,0,-1)+1</f>
        <v>3</v>
      </c>
      <c r="W42" s="1258"/>
      <c r="X42" s="1258">
        <f>OFFSET(X42,0,-1)+1</f>
        <v>1</v>
      </c>
      <c r="Y42" s="1258">
        <f>OFFSET(Y42,0,-1)+1</f>
        <v>2</v>
      </c>
      <c r="Z42" s="1258">
        <f>OFFSET(Z42,0,-1)+1</f>
        <v>3</v>
      </c>
      <c r="AA42" s="2274">
        <f>OFFSET(AA42,0,-1)+1</f>
        <v>4</v>
      </c>
      <c r="AB42" s="2274"/>
      <c r="AC42" s="1258">
        <f>OFFSET(AC42,0,-2)+1</f>
        <v>5</v>
      </c>
      <c r="AD42" s="1314">
        <f>OFFSET(AD42,0,-1)+1</f>
        <v>6</v>
      </c>
      <c r="AE42" s="1314"/>
      <c r="AF42" s="1314">
        <f>OFFSET(AF42,0,-1)+1</f>
        <v>1</v>
      </c>
      <c r="AG42" s="1314">
        <f>OFFSET(AG42,0,-1)+1</f>
        <v>2</v>
      </c>
      <c r="AH42" s="1314">
        <f>OFFSET(AH42,0,-1)+1</f>
        <v>3</v>
      </c>
      <c r="AI42" s="2274">
        <f>OFFSET(AI42,0,-1)+1</f>
        <v>4</v>
      </c>
      <c r="AJ42" s="2274"/>
      <c r="AK42" s="1314">
        <f>OFFSET(AK42,0,-2)+1</f>
        <v>5</v>
      </c>
      <c r="AL42" s="1247">
        <f>OFFSET(AL42,0,-1)</f>
        <v>5</v>
      </c>
      <c r="AM42" s="1258">
        <f>OFFSET(AM42,0,-1)+1</f>
        <v>6</v>
      </c>
      <c r="AN42" s="513"/>
      <c r="AO42" s="513"/>
      <c r="AP42" s="513"/>
      <c r="AQ42" s="513"/>
      <c r="AR42" s="513"/>
      <c r="AS42" s="498">
        <v>0</v>
      </c>
    </row>
    <row customHeight="1" ht="24">
      <c r="A43" s="1365" t="s">
        <v>158</v>
      </c>
      <c r="B43" s="1365"/>
      <c r="C43" s="1365"/>
      <c r="D43" s="1365"/>
      <c r="E43" s="2260">
        <v>1</v>
      </c>
      <c r="F43" s="1365"/>
      <c r="G43" s="1365"/>
      <c r="H43" s="1365"/>
      <c r="I43" s="1365"/>
      <c r="J43" s="1365"/>
      <c r="K43" s="1365"/>
      <c r="L43" s="1366"/>
      <c r="M43" s="1367"/>
      <c r="N43" s="1367"/>
      <c r="O43" s="1367"/>
      <c r="P43" s="363"/>
      <c r="Q43" s="362"/>
      <c r="R43" s="357"/>
      <c r="S43" s="1226">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23</v>
      </c>
    </row>
    <row customHeight="1" ht="24">
      <c r="A44" s="1365" t="s">
        <v>158</v>
      </c>
      <c r="B44" s="1365" t="s">
        <v>159</v>
      </c>
      <c r="C44" s="1365"/>
      <c r="D44" s="1365"/>
      <c r="E44" s="2261"/>
      <c r="F44" s="2260">
        <v>1</v>
      </c>
      <c r="G44" s="1365"/>
      <c r="H44" s="1365"/>
      <c r="I44" s="1365"/>
      <c r="J44" s="1365"/>
      <c r="K44" s="1365"/>
      <c r="L44" s="1366"/>
      <c r="M44" s="1367"/>
      <c r="N44" s="1367"/>
      <c r="O44" s="1367"/>
      <c r="P44" s="524"/>
      <c r="Q44" s="354"/>
      <c r="R44" s="355"/>
      <c r="S44" s="1226"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23</v>
      </c>
    </row>
    <row customHeight="1" ht="24">
      <c r="A45" s="1365" t="s">
        <v>158</v>
      </c>
      <c r="B45" s="1365" t="s">
        <v>159</v>
      </c>
      <c r="C45" s="1365" t="s">
        <v>160</v>
      </c>
      <c r="D45" s="1365"/>
      <c r="E45" s="2261"/>
      <c r="F45" s="2261"/>
      <c r="G45" s="2260">
        <v>1</v>
      </c>
      <c r="H45" s="1365"/>
      <c r="I45" s="1365"/>
      <c r="J45" s="1365"/>
      <c r="K45" s="1365"/>
      <c r="L45" s="1366"/>
      <c r="M45" s="1367"/>
      <c r="N45" s="1367"/>
      <c r="O45" s="1367"/>
      <c r="P45" s="356"/>
      <c r="Q45" s="354"/>
      <c r="R45" s="355"/>
      <c r="S45" s="1226"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4">
      <c r="A46" s="1365" t="s">
        <v>158</v>
      </c>
      <c r="B46" s="1365" t="s">
        <v>159</v>
      </c>
      <c r="C46" s="1365" t="s">
        <v>160</v>
      </c>
      <c r="D46" s="1365" t="s">
        <v>161</v>
      </c>
      <c r="E46" s="2261"/>
      <c r="F46" s="2261"/>
      <c r="G46" s="2261"/>
      <c r="H46" s="2260">
        <v>1</v>
      </c>
      <c r="I46" s="1365"/>
      <c r="J46" s="1365"/>
      <c r="K46" s="1365"/>
      <c r="L46" s="1366"/>
      <c r="M46" s="1367"/>
      <c r="N46" s="1367"/>
      <c r="O46" s="1367"/>
      <c r="P46" s="356"/>
      <c r="Q46" s="354"/>
      <c r="R46" s="355"/>
      <c r="S46" s="1226"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23</v>
      </c>
    </row>
    <row customHeight="1" ht="49.5">
      <c r="A47" s="1365" t="s">
        <v>158</v>
      </c>
      <c r="B47" s="1365" t="s">
        <v>159</v>
      </c>
      <c r="C47" s="1365" t="s">
        <v>160</v>
      </c>
      <c r="D47" s="1365" t="s">
        <v>161</v>
      </c>
      <c r="E47" s="2261"/>
      <c r="F47" s="2261"/>
      <c r="G47" s="2261"/>
      <c r="H47" s="2261"/>
      <c r="I47" s="2258" t="str">
        <f>S46&amp;".1"</f>
        <v>....1</v>
      </c>
      <c r="J47" s="1365"/>
      <c r="K47" s="1365"/>
      <c r="L47" s="1366" t="s">
        <v>403</v>
      </c>
      <c r="P47" s="2259">
        <v>1</v>
      </c>
      <c r="Q47" s="1222"/>
      <c r="R47" s="358"/>
      <c r="S47" s="1226"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4">
      <c r="A48" s="1365" t="s">
        <v>158</v>
      </c>
      <c r="B48" s="1365" t="s">
        <v>159</v>
      </c>
      <c r="C48" s="1365" t="s">
        <v>160</v>
      </c>
      <c r="D48" s="1365" t="s">
        <v>161</v>
      </c>
      <c r="E48" s="2261"/>
      <c r="F48" s="2261"/>
      <c r="G48" s="2261"/>
      <c r="H48" s="2261"/>
      <c r="I48" s="2288"/>
      <c r="J48" s="2258" t="str">
        <f>I47&amp;".1"</f>
        <v>....1.1</v>
      </c>
      <c r="K48" s="1365"/>
      <c r="L48" s="1366" t="s">
        <v>406</v>
      </c>
      <c r="P48" s="2259"/>
      <c r="Q48" s="2259">
        <v>1</v>
      </c>
      <c r="R48" s="359"/>
      <c r="S48" s="1226"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23</v>
      </c>
    </row>
    <row customHeight="1" ht="24">
      <c r="A49" s="1365" t="s">
        <v>158</v>
      </c>
      <c r="B49" s="1365" t="s">
        <v>159</v>
      </c>
      <c r="C49" s="1365" t="s">
        <v>160</v>
      </c>
      <c r="D49" s="1365" t="s">
        <v>161</v>
      </c>
      <c r="E49" s="2261"/>
      <c r="F49" s="2261"/>
      <c r="G49" s="2261"/>
      <c r="H49" s="2261"/>
      <c r="I49" s="2288"/>
      <c r="J49" s="2288"/>
      <c r="K49" s="2258" t="str">
        <f>J48&amp;".1"</f>
        <v>....1.1.1</v>
      </c>
      <c r="L49" s="1366" t="s">
        <v>409</v>
      </c>
      <c r="P49" s="2259"/>
      <c r="Q49" s="2259"/>
      <c r="R49" s="359">
        <v>1</v>
      </c>
      <c r="S49" s="1226"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410</v>
      </c>
      <c r="AN49" s="513">
        <f>STRCHECKDATE(V50:AL50)</f>
      </c>
      <c r="AO49" s="502"/>
      <c r="AP49" s="502" t="str">
        <f>IF(T49="","",T49)</f>
        <v/>
      </c>
      <c r="AQ49" s="502"/>
      <c r="AR49" s="502"/>
      <c r="AS49" s="1157">
        <v>23</v>
      </c>
    </row>
    <row customHeight="1" ht="1.05">
      <c r="A50" s="1365" t="s">
        <v>158</v>
      </c>
      <c r="B50" s="1365" t="s">
        <v>159</v>
      </c>
      <c r="C50" s="1365" t="s">
        <v>160</v>
      </c>
      <c r="D50" s="1365" t="s">
        <v>161</v>
      </c>
      <c r="E50" s="2261"/>
      <c r="F50" s="2261"/>
      <c r="G50" s="2261"/>
      <c r="H50" s="2261"/>
      <c r="I50" s="2288"/>
      <c r="J50" s="2288"/>
      <c r="K50" s="2258"/>
      <c r="L50" s="1366"/>
      <c r="P50" s="2259"/>
      <c r="Q50" s="2259"/>
      <c r="R50" s="359"/>
      <c r="S50" s="1225"/>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158</v>
      </c>
      <c r="B51" s="1365" t="s">
        <v>159</v>
      </c>
      <c r="C51" s="1365" t="s">
        <v>160</v>
      </c>
      <c r="D51" s="1365" t="s">
        <v>161</v>
      </c>
      <c r="E51" s="2261"/>
      <c r="F51" s="2261"/>
      <c r="G51" s="2261"/>
      <c r="H51" s="2261"/>
      <c r="I51" s="2288"/>
      <c r="J51" s="2258"/>
      <c r="K51" s="1365"/>
      <c r="L51" s="1366"/>
      <c r="P51" s="2259"/>
      <c r="Q51" s="2259"/>
      <c r="R51" s="358"/>
      <c r="S51" s="1280"/>
      <c r="T51" s="290"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158</v>
      </c>
      <c r="B52" s="1365" t="s">
        <v>159</v>
      </c>
      <c r="C52" s="1365" t="s">
        <v>160</v>
      </c>
      <c r="D52" s="1365" t="s">
        <v>161</v>
      </c>
      <c r="E52" s="2261"/>
      <c r="F52" s="2261"/>
      <c r="G52" s="2261"/>
      <c r="H52" s="2261"/>
      <c r="I52" s="2258"/>
      <c r="J52" s="1365"/>
      <c r="K52" s="1365"/>
      <c r="L52" s="1366"/>
      <c r="P52" s="2259"/>
      <c r="Q52" s="1222"/>
      <c r="R52" s="358"/>
      <c r="S52" s="1280"/>
      <c r="T52" s="289"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158</v>
      </c>
      <c r="B53" s="1365" t="s">
        <v>159</v>
      </c>
      <c r="C53" s="1365" t="s">
        <v>160</v>
      </c>
      <c r="D53" s="1365" t="s">
        <v>161</v>
      </c>
      <c r="E53" s="2261"/>
      <c r="F53" s="2261"/>
      <c r="G53" s="2261"/>
      <c r="H53" s="2260"/>
      <c r="I53" s="1365"/>
      <c r="J53" s="1365"/>
      <c r="K53" s="1365"/>
      <c r="L53" s="1366"/>
      <c r="M53" s="1367"/>
      <c r="N53" s="1367"/>
      <c r="O53" s="539"/>
      <c r="P53" s="362"/>
      <c r="Q53" s="377"/>
      <c r="R53" s="357"/>
      <c r="S53" s="1280"/>
      <c r="T53" s="367" t="s">
        <v>413</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158</v>
      </c>
      <c r="B54" s="1345" t="s">
        <v>159</v>
      </c>
      <c r="C54" s="1345" t="s">
        <v>160</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158</v>
      </c>
      <c r="B55" s="1345" t="s">
        <v>159</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158</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7.2">
      <c r="O60" s="539"/>
      <c r="P60" s="1305"/>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64</v>
      </c>
    </row>
    <row customHeight="1" ht="14.699999999999998">
      <c r="O61" s="539"/>
      <c r="AS61" s="1157">
        <v>14</v>
      </c>
    </row>
    <row customHeight="1" ht="18.75">
      <c r="O62" s="539"/>
      <c r="P62" s="1330"/>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P63" s="1330"/>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P64" s="1330"/>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220">
        <v>3</v>
      </c>
      <c r="Q65" s="346">
        <v>3</v>
      </c>
      <c r="R65" s="346">
        <v>3</v>
      </c>
      <c r="S65" s="583">
        <v>12</v>
      </c>
      <c r="T65" s="1157">
        <v>35</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F88093-2258-F4F6-10C6-E2F817E13622}"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403</v>
      </c>
      <c r="M6" s="539"/>
      <c r="P6" s="2259">
        <v>1</v>
      </c>
      <c r="Q6" s="1333"/>
      <c r="R6" s="358"/>
      <c r="S6" s="1338">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406</v>
      </c>
      <c r="M7" s="539"/>
      <c r="N7" s="1368"/>
      <c r="P7" s="2259"/>
      <c r="Q7" s="2259">
        <v>1</v>
      </c>
      <c r="R7" s="359"/>
      <c r="S7" s="1338">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409</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413</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5.699999999999996">
      <c r="Q40" s="378"/>
      <c r="R40" s="378"/>
      <c r="S40" s="2275"/>
      <c r="T40" s="2211"/>
      <c r="U40" s="1033"/>
      <c r="V40" s="2262" t="s">
        <v>433</v>
      </c>
      <c r="W40" s="2285" t="s">
        <v>434</v>
      </c>
      <c r="X40" s="2264" t="s">
        <v>435</v>
      </c>
      <c r="Y40" s="2265"/>
      <c r="Z40" s="2264" t="s">
        <v>449</v>
      </c>
      <c r="AA40" s="2271"/>
      <c r="AB40" s="2265"/>
      <c r="AC40" s="2280"/>
      <c r="AD40" s="2262" t="s">
        <v>433</v>
      </c>
      <c r="AE40" s="2285" t="s">
        <v>434</v>
      </c>
      <c r="AF40" s="2264" t="s">
        <v>435</v>
      </c>
      <c r="AG40" s="2265"/>
      <c r="AH40" s="2264" t="s">
        <v>436</v>
      </c>
      <c r="AI40" s="2271"/>
      <c r="AJ40" s="2265"/>
      <c r="AK40" s="2280"/>
      <c r="AL40" s="2283"/>
      <c r="AM40" s="2129"/>
      <c r="AS40" s="1157">
        <v>34</v>
      </c>
    </row>
    <row customHeight="1" ht="35.699999999999996">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340" t="s">
        <v>446</v>
      </c>
      <c r="AA41" s="2272" t="s">
        <v>447</v>
      </c>
      <c r="AB41" s="2273"/>
      <c r="AC41" s="2281"/>
      <c r="AD41" s="2263"/>
      <c r="AE41" s="2286"/>
      <c r="AF41" s="1224" t="s">
        <v>444</v>
      </c>
      <c r="AG41" s="1224" t="s">
        <v>445</v>
      </c>
      <c r="AH41" s="1340"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163</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163</v>
      </c>
      <c r="B44" s="1365" t="s">
        <v>164</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21</v>
      </c>
    </row>
    <row customHeight="1" ht="24">
      <c r="A45" s="1365" t="s">
        <v>163</v>
      </c>
      <c r="B45" s="1365" t="s">
        <v>164</v>
      </c>
      <c r="C45" s="1365" t="s">
        <v>165</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2.049999999999997">
      <c r="A46" s="1365" t="s">
        <v>163</v>
      </c>
      <c r="B46" s="1365" t="s">
        <v>164</v>
      </c>
      <c r="C46" s="1365" t="s">
        <v>165</v>
      </c>
      <c r="D46" s="1365" t="s">
        <v>166</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21</v>
      </c>
    </row>
    <row customHeight="1" ht="49.5">
      <c r="A47" s="1365" t="s">
        <v>163</v>
      </c>
      <c r="B47" s="1365" t="s">
        <v>164</v>
      </c>
      <c r="C47" s="1365" t="s">
        <v>165</v>
      </c>
      <c r="D47" s="1365" t="s">
        <v>166</v>
      </c>
      <c r="E47" s="2261"/>
      <c r="F47" s="2261"/>
      <c r="G47" s="2261"/>
      <c r="H47" s="2261"/>
      <c r="I47" s="2258" t="str">
        <f>S46&amp;".1"</f>
        <v>....1</v>
      </c>
      <c r="J47" s="1365"/>
      <c r="K47" s="1365"/>
      <c r="L47" s="1366" t="s">
        <v>403</v>
      </c>
      <c r="P47" s="2259">
        <v>1</v>
      </c>
      <c r="Q47" s="1333"/>
      <c r="R47" s="358"/>
      <c r="S47" s="1338"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163</v>
      </c>
      <c r="B48" s="1365" t="s">
        <v>164</v>
      </c>
      <c r="C48" s="1365" t="s">
        <v>165</v>
      </c>
      <c r="D48" s="1365" t="s">
        <v>166</v>
      </c>
      <c r="E48" s="2261"/>
      <c r="F48" s="2261"/>
      <c r="G48" s="2261"/>
      <c r="H48" s="2261"/>
      <c r="I48" s="2288"/>
      <c r="J48" s="2258" t="str">
        <f>I47&amp;".1"</f>
        <v>....1.1</v>
      </c>
      <c r="K48" s="1365"/>
      <c r="L48" s="1366" t="s">
        <v>406</v>
      </c>
      <c r="P48" s="2259"/>
      <c r="Q48" s="2259">
        <v>1</v>
      </c>
      <c r="R48" s="359"/>
      <c r="S48" s="1338"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21</v>
      </c>
    </row>
    <row customHeight="1" ht="22.049999999999997">
      <c r="A49" s="1365" t="s">
        <v>163</v>
      </c>
      <c r="B49" s="1365" t="s">
        <v>164</v>
      </c>
      <c r="C49" s="1365" t="s">
        <v>165</v>
      </c>
      <c r="D49" s="1365" t="s">
        <v>166</v>
      </c>
      <c r="E49" s="2261"/>
      <c r="F49" s="2261"/>
      <c r="G49" s="2261"/>
      <c r="H49" s="2261"/>
      <c r="I49" s="2288"/>
      <c r="J49" s="2288"/>
      <c r="K49" s="2258" t="str">
        <f>J48&amp;".1"</f>
        <v>....1.1.1</v>
      </c>
      <c r="L49" s="1366" t="s">
        <v>409</v>
      </c>
      <c r="P49" s="2259"/>
      <c r="Q49" s="2259"/>
      <c r="R49" s="359">
        <v>1</v>
      </c>
      <c r="S49" s="1338"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410</v>
      </c>
      <c r="AN49" s="513">
        <f>STRCHECKDATE(V50:AL50)</f>
      </c>
      <c r="AO49" s="502"/>
      <c r="AP49" s="502" t="str">
        <f>IF(T49="","",T49)</f>
        <v/>
      </c>
      <c r="AQ49" s="502"/>
      <c r="AR49" s="502"/>
      <c r="AS49" s="1157">
        <v>21</v>
      </c>
    </row>
    <row customHeight="1" ht="1.05">
      <c r="A50" s="1365" t="s">
        <v>163</v>
      </c>
      <c r="B50" s="1365" t="s">
        <v>164</v>
      </c>
      <c r="C50" s="1365" t="s">
        <v>165</v>
      </c>
      <c r="D50" s="1365" t="s">
        <v>166</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163</v>
      </c>
      <c r="B51" s="1365" t="s">
        <v>164</v>
      </c>
      <c r="C51" s="1365" t="s">
        <v>165</v>
      </c>
      <c r="D51" s="1365" t="s">
        <v>166</v>
      </c>
      <c r="E51" s="2261"/>
      <c r="F51" s="2261"/>
      <c r="G51" s="2261"/>
      <c r="H51" s="2261"/>
      <c r="I51" s="2288"/>
      <c r="J51" s="2258"/>
      <c r="K51" s="1365"/>
      <c r="L51" s="1366"/>
      <c r="P51" s="2259"/>
      <c r="Q51" s="2259"/>
      <c r="R51" s="358"/>
      <c r="S51" s="1280"/>
      <c r="T51" s="290"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163</v>
      </c>
      <c r="B52" s="1365" t="s">
        <v>164</v>
      </c>
      <c r="C52" s="1365" t="s">
        <v>165</v>
      </c>
      <c r="D52" s="1365" t="s">
        <v>166</v>
      </c>
      <c r="E52" s="2261"/>
      <c r="F52" s="2261"/>
      <c r="G52" s="2261"/>
      <c r="H52" s="2261"/>
      <c r="I52" s="2258"/>
      <c r="J52" s="1365"/>
      <c r="K52" s="1365"/>
      <c r="L52" s="1366"/>
      <c r="P52" s="2259"/>
      <c r="Q52" s="1333"/>
      <c r="R52" s="358"/>
      <c r="S52" s="1280"/>
      <c r="T52" s="289"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163</v>
      </c>
      <c r="B53" s="1365" t="s">
        <v>164</v>
      </c>
      <c r="C53" s="1365" t="s">
        <v>165</v>
      </c>
      <c r="D53" s="1365" t="s">
        <v>166</v>
      </c>
      <c r="E53" s="2261"/>
      <c r="F53" s="2261"/>
      <c r="G53" s="2261"/>
      <c r="H53" s="2260"/>
      <c r="I53" s="1365"/>
      <c r="J53" s="1365"/>
      <c r="K53" s="1365"/>
      <c r="L53" s="1366"/>
      <c r="M53" s="1367"/>
      <c r="N53" s="1367"/>
      <c r="O53" s="539"/>
      <c r="P53" s="362"/>
      <c r="Q53" s="377"/>
      <c r="R53" s="357"/>
      <c r="S53" s="1280"/>
      <c r="T53" s="367" t="s">
        <v>413</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163</v>
      </c>
      <c r="B54" s="1345" t="s">
        <v>164</v>
      </c>
      <c r="C54" s="1345" t="s">
        <v>165</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163</v>
      </c>
      <c r="B55" s="1345" t="s">
        <v>164</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163</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5.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62</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275729-8D1B-CA21-276E-D4F6C9CF9E7B}"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403</v>
      </c>
      <c r="M6" s="1637"/>
      <c r="P6" s="2259">
        <v>1</v>
      </c>
      <c r="Q6" s="1956"/>
      <c r="R6" s="358"/>
      <c r="S6" s="1960">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406</v>
      </c>
      <c r="M7" s="1637"/>
      <c r="N7" s="1633"/>
      <c r="P7" s="2259"/>
      <c r="Q7" s="2259">
        <v>1</v>
      </c>
      <c r="R7" s="359"/>
      <c r="S7" s="1960">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409</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411</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412</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413</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376"/>
      <c r="B13" s="1376"/>
      <c r="C13" s="1376"/>
      <c r="D13" s="1376"/>
      <c r="E13" s="2292"/>
      <c r="F13" s="2292"/>
      <c r="G13" s="2291"/>
      <c r="H13" s="1376"/>
      <c r="I13" s="1376"/>
      <c r="J13" s="1376"/>
      <c r="K13" s="1376"/>
      <c r="L13" s="1379"/>
      <c r="M13" s="1380"/>
      <c r="N13" s="1380"/>
      <c r="O13" s="353"/>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376"/>
      <c r="B14" s="1376"/>
      <c r="C14" s="1376"/>
      <c r="D14" s="1376"/>
      <c r="E14" s="2292"/>
      <c r="F14" s="2291"/>
      <c r="G14" s="1376"/>
      <c r="H14" s="1376"/>
      <c r="I14" s="1376"/>
      <c r="J14" s="1376"/>
      <c r="K14" s="1376"/>
      <c r="L14" s="1379"/>
      <c r="M14" s="1381"/>
      <c r="N14" s="1381"/>
      <c r="O14" s="35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376"/>
      <c r="B15" s="1376"/>
      <c r="C15" s="1376"/>
      <c r="D15" s="1376"/>
      <c r="E15" s="2291"/>
      <c r="F15" s="1376"/>
      <c r="G15" s="1376"/>
      <c r="H15" s="1376"/>
      <c r="I15" s="1376"/>
      <c r="J15" s="1376"/>
      <c r="K15" s="1376"/>
      <c r="L15" s="1379"/>
      <c r="M15" s="1381"/>
      <c r="N15" s="1381"/>
      <c r="O15" s="35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66</v>
      </c>
      <c r="AJ17" s="2269"/>
      <c r="AK17" s="2270" t="s">
        <v>66</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417</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418</v>
      </c>
      <c r="P22" s="1364"/>
      <c r="Q22" s="1373"/>
      <c r="R22" s="1373"/>
      <c r="S22" s="731"/>
      <c r="T22" s="1368" t="s">
        <v>419</v>
      </c>
      <c r="AA22" s="597" t="s">
        <v>420</v>
      </c>
      <c r="AC22" s="597" t="s">
        <v>421</v>
      </c>
      <c r="AD22" s="1368" t="s">
        <v>419</v>
      </c>
      <c r="AI22" s="597" t="s">
        <v>422</v>
      </c>
      <c r="AK22" s="597" t="s">
        <v>421</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423</v>
      </c>
      <c r="T30" s="2252"/>
      <c r="U30" s="1374"/>
      <c r="V30" s="2266" t="str">
        <f>IF(TITLE_DATE_PR_CHANGE="",IF(TITLE_DATE_PR="","",TITLE_DATE_PR),TITLE_DATE_PR_CHANGE)</f>
        <v/>
      </c>
      <c r="W30" s="2266"/>
      <c r="X30" s="2266"/>
      <c r="Y30" s="2266"/>
      <c r="Z30" s="2266"/>
      <c r="AA30" s="2266"/>
      <c r="AB30" s="2266"/>
      <c r="AC30" s="1637"/>
      <c r="AD30" s="2266" t="str">
        <f>IF(TITLE_DATE_PR_CHANGE="",IF(TITLE_DATE_PR="","",TITLE_DATE_PR),TITLE_DATE_PR_CHANGE)</f>
        <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424</v>
      </c>
      <c r="T31" s="2252"/>
      <c r="U31" s="1374"/>
      <c r="V31" s="2253" t="str">
        <f>IF(TITLE_NUMBER_PR_CHANGE="",IF(TITLE_NUMBER_PR="","",TITLE_NUMBER_PR),TITLE_NUMBER_PR_CHANGE)</f>
        <v/>
      </c>
      <c r="W31" s="2253"/>
      <c r="X31" s="2253"/>
      <c r="Y31" s="2253"/>
      <c r="Z31" s="2253"/>
      <c r="AA31" s="2253"/>
      <c r="AB31" s="2253"/>
      <c r="AC31" s="1637"/>
      <c r="AD31" s="2253" t="str">
        <f>IF(TITLE_NUMBER_PR_CHANGE="",IF(TITLE_NUMBER_PR="","",TITLE_NUMBER_PR),TITLE_NUMBER_PR_CHANGE)</f>
        <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425</v>
      </c>
      <c r="T34" s="2252"/>
      <c r="U34" s="1374"/>
      <c r="V34" s="2266" t="str">
        <f>IF(TITLE_DATE_PR_CHANGE="",IF(TITLE_DATE_PR="","",TITLE_DATE_PR),TITLE_DATE_PR_CHANGE)</f>
        <v/>
      </c>
      <c r="W34" s="2266"/>
      <c r="X34" s="2266"/>
      <c r="Y34" s="2266"/>
      <c r="Z34" s="2266"/>
      <c r="AA34" s="2266"/>
      <c r="AB34" s="2266"/>
      <c r="AC34" s="1637"/>
      <c r="AD34" s="2266" t="str">
        <f>IF(TITLE_DATE_PR_CHANGE="",IF(TITLE_DATE_PR="","",TITLE_DATE_PR),TITLE_DATE_PR_CHANGE)</f>
        <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426</v>
      </c>
      <c r="T35" s="2252"/>
      <c r="U35" s="1374"/>
      <c r="V35" s="2253" t="str">
        <f>IF(TITLE_NUMBER_PR_CHANGE="",IF(TITLE_NUMBER_PR="","",TITLE_NUMBER_PR),TITLE_NUMBER_PR_CHANGE)</f>
        <v/>
      </c>
      <c r="W35" s="2253"/>
      <c r="X35" s="2253"/>
      <c r="Y35" s="2253"/>
      <c r="Z35" s="2253"/>
      <c r="AA35" s="2253"/>
      <c r="AB35" s="2253"/>
      <c r="AC35" s="1637"/>
      <c r="AD35" s="2253" t="str">
        <f>IF(TITLE_NUMBER_PR_CHANGE="",IF(TITLE_NUMBER_PR="","",TITLE_NUMBER_PR),TITLE_NUMBER_PR_CHANGE)</f>
        <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427</v>
      </c>
      <c r="AD36" s="1637"/>
      <c r="AE36" s="1637"/>
      <c r="AF36" s="1637"/>
      <c r="AG36" s="1637"/>
      <c r="AH36" s="1637"/>
      <c r="AI36" s="1637"/>
      <c r="AJ36" s="1637"/>
      <c r="AK36" s="1644" t="s">
        <v>427</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633">
        <v>14</v>
      </c>
    </row>
    <row customHeight="1" ht="14.699999999999998">
      <c r="Q39" s="378"/>
      <c r="R39" s="378"/>
      <c r="S39" s="2275" t="s">
        <v>88</v>
      </c>
      <c r="T39" s="2211" t="s">
        <v>428</v>
      </c>
      <c r="U39" s="339"/>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633">
        <v>14</v>
      </c>
    </row>
    <row customHeight="1" ht="35.699999999999996">
      <c r="Q40" s="378"/>
      <c r="R40" s="378"/>
      <c r="S40" s="2275"/>
      <c r="T40" s="2211"/>
      <c r="U40" s="1033"/>
      <c r="V40" s="2262" t="s">
        <v>433</v>
      </c>
      <c r="W40" s="2285" t="s">
        <v>434</v>
      </c>
      <c r="X40" s="2264" t="s">
        <v>435</v>
      </c>
      <c r="Y40" s="2265"/>
      <c r="Z40" s="2264" t="s">
        <v>449</v>
      </c>
      <c r="AA40" s="2271"/>
      <c r="AB40" s="2265"/>
      <c r="AC40" s="2280"/>
      <c r="AD40" s="2262" t="s">
        <v>433</v>
      </c>
      <c r="AE40" s="2285" t="s">
        <v>434</v>
      </c>
      <c r="AF40" s="2264" t="s">
        <v>435</v>
      </c>
      <c r="AG40" s="2265"/>
      <c r="AH40" s="2264" t="s">
        <v>436</v>
      </c>
      <c r="AI40" s="2271"/>
      <c r="AJ40" s="2265"/>
      <c r="AK40" s="2280"/>
      <c r="AL40" s="2283"/>
      <c r="AM40" s="2129"/>
      <c r="AS40" s="1633">
        <v>34</v>
      </c>
    </row>
    <row customHeight="1" ht="35.699999999999996">
      <c r="A41" s="1268"/>
      <c r="B41" s="1268" t="s">
        <v>137</v>
      </c>
      <c r="C41" s="1268" t="s">
        <v>138</v>
      </c>
      <c r="D41" s="1268" t="s">
        <v>139</v>
      </c>
      <c r="E41" s="1312" t="s">
        <v>437</v>
      </c>
      <c r="F41" s="1312" t="s">
        <v>438</v>
      </c>
      <c r="G41" s="1312" t="s">
        <v>439</v>
      </c>
      <c r="H41" s="1312" t="s">
        <v>440</v>
      </c>
      <c r="I41" s="1312" t="s">
        <v>441</v>
      </c>
      <c r="J41" s="1312" t="s">
        <v>442</v>
      </c>
      <c r="K41" s="1312" t="s">
        <v>443</v>
      </c>
      <c r="L41" s="1312" t="s">
        <v>418</v>
      </c>
      <c r="Q41" s="378"/>
      <c r="R41" s="378"/>
      <c r="S41" s="2275"/>
      <c r="T41" s="2211"/>
      <c r="U41" s="304"/>
      <c r="V41" s="2263"/>
      <c r="W41" s="2286"/>
      <c r="X41" s="1940" t="s">
        <v>444</v>
      </c>
      <c r="Y41" s="1940" t="s">
        <v>445</v>
      </c>
      <c r="Z41" s="1940" t="s">
        <v>446</v>
      </c>
      <c r="AA41" s="2272" t="s">
        <v>447</v>
      </c>
      <c r="AB41" s="2273"/>
      <c r="AC41" s="2281"/>
      <c r="AD41" s="2263"/>
      <c r="AE41" s="2286"/>
      <c r="AF41" s="1940" t="s">
        <v>444</v>
      </c>
      <c r="AG41" s="1940" t="s">
        <v>445</v>
      </c>
      <c r="AH41" s="1940" t="s">
        <v>446</v>
      </c>
      <c r="AI41" s="2272" t="s">
        <v>447</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109</v>
      </c>
      <c r="T42" s="1257" t="s">
        <v>110</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212</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212</v>
      </c>
      <c r="B44" s="1269" t="s">
        <v>213</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1626"/>
      <c r="AP44" s="1626" t="str">
        <f>IF(T44="","",T44)</f>
        <v>Территория действия тарифа</v>
      </c>
      <c r="AQ44" s="1626"/>
      <c r="AR44" s="1626"/>
      <c r="AS44" s="1633">
        <v>21</v>
      </c>
    </row>
    <row customHeight="1" ht="24">
      <c r="A45" s="1269" t="s">
        <v>212</v>
      </c>
      <c r="B45" s="1269" t="s">
        <v>213</v>
      </c>
      <c r="C45" s="1269" t="s">
        <v>214</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1626"/>
      <c r="AP45" s="1626" t="str">
        <f>IF(T45="","",T45)</f>
        <v>Наименование системы теплоснабжения </v>
      </c>
      <c r="AQ45" s="1626"/>
      <c r="AR45" s="1626"/>
      <c r="AS45" s="1633">
        <v>23</v>
      </c>
    </row>
    <row customHeight="1" ht="22.049999999999997">
      <c r="A46" s="1269" t="s">
        <v>212</v>
      </c>
      <c r="B46" s="1269" t="s">
        <v>213</v>
      </c>
      <c r="C46" s="1269" t="s">
        <v>214</v>
      </c>
      <c r="D46" s="1269" t="s">
        <v>215</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1626"/>
      <c r="AP46" s="1626" t="str">
        <f>IF(T46="","",T46)</f>
        <v>Источник тепловой энергии  </v>
      </c>
      <c r="AQ46" s="1626"/>
      <c r="AR46" s="1626"/>
      <c r="AS46" s="1633">
        <v>21</v>
      </c>
    </row>
    <row customHeight="1" ht="49.5">
      <c r="A47" s="1269" t="s">
        <v>212</v>
      </c>
      <c r="B47" s="1269" t="s">
        <v>213</v>
      </c>
      <c r="C47" s="1269" t="s">
        <v>214</v>
      </c>
      <c r="D47" s="1269" t="s">
        <v>215</v>
      </c>
      <c r="E47" s="2292"/>
      <c r="F47" s="2292"/>
      <c r="G47" s="2292"/>
      <c r="H47" s="2292"/>
      <c r="I47" s="2129" t="str">
        <f>S46&amp;".1"</f>
        <v>....1</v>
      </c>
      <c r="J47" s="1269"/>
      <c r="K47" s="1269"/>
      <c r="L47" s="1312" t="s">
        <v>403</v>
      </c>
      <c r="P47" s="2259">
        <v>1</v>
      </c>
      <c r="Q47" s="1956"/>
      <c r="R47" s="358"/>
      <c r="S47" s="1960"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212</v>
      </c>
      <c r="B48" s="1269" t="s">
        <v>213</v>
      </c>
      <c r="C48" s="1269" t="s">
        <v>214</v>
      </c>
      <c r="D48" s="1269" t="s">
        <v>215</v>
      </c>
      <c r="E48" s="2292"/>
      <c r="F48" s="2292"/>
      <c r="G48" s="2292"/>
      <c r="H48" s="2292"/>
      <c r="I48" s="2103"/>
      <c r="J48" s="2129" t="str">
        <f>I47&amp;".1"</f>
        <v>....1.1</v>
      </c>
      <c r="K48" s="1269"/>
      <c r="L48" s="1312" t="s">
        <v>406</v>
      </c>
      <c r="P48" s="2259"/>
      <c r="Q48" s="2259">
        <v>1</v>
      </c>
      <c r="R48" s="359"/>
      <c r="S48" s="1960"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1626"/>
      <c r="AP48" s="1626" t="str">
        <f>IF(T48="","",T48)</f>
        <v>Группа потребителей</v>
      </c>
      <c r="AQ48" s="1626"/>
      <c r="AR48" s="1626"/>
      <c r="AS48" s="1633">
        <v>21</v>
      </c>
    </row>
    <row customHeight="1" ht="22.049999999999997">
      <c r="A49" s="1269" t="s">
        <v>212</v>
      </c>
      <c r="B49" s="1269" t="s">
        <v>213</v>
      </c>
      <c r="C49" s="1269" t="s">
        <v>214</v>
      </c>
      <c r="D49" s="1269" t="s">
        <v>215</v>
      </c>
      <c r="E49" s="2292"/>
      <c r="F49" s="2292"/>
      <c r="G49" s="2292"/>
      <c r="H49" s="2292"/>
      <c r="I49" s="2103"/>
      <c r="J49" s="2103"/>
      <c r="K49" s="2129" t="str">
        <f>J48&amp;".1"</f>
        <v>....1.1.1</v>
      </c>
      <c r="L49" s="1312" t="s">
        <v>409</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410</v>
      </c>
      <c r="AN49" s="1638">
        <f>STRCHECKDATE(V50:AL50)</f>
      </c>
      <c r="AO49" s="1626"/>
      <c r="AP49" s="1626" t="str">
        <f>IF(T49="","",T49)</f>
        <v/>
      </c>
      <c r="AQ49" s="1626"/>
      <c r="AR49" s="1626"/>
      <c r="AS49" s="1633">
        <v>21</v>
      </c>
    </row>
    <row customHeight="1" ht="1.05">
      <c r="A50" s="1269" t="s">
        <v>212</v>
      </c>
      <c r="B50" s="1269" t="s">
        <v>213</v>
      </c>
      <c r="C50" s="1269" t="s">
        <v>214</v>
      </c>
      <c r="D50" s="1269" t="s">
        <v>215</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212</v>
      </c>
      <c r="B51" s="1269" t="s">
        <v>213</v>
      </c>
      <c r="C51" s="1269" t="s">
        <v>214</v>
      </c>
      <c r="D51" s="1269" t="s">
        <v>215</v>
      </c>
      <c r="E51" s="2292"/>
      <c r="F51" s="2292"/>
      <c r="G51" s="2292"/>
      <c r="H51" s="2292"/>
      <c r="I51" s="2103"/>
      <c r="J51" s="2129"/>
      <c r="K51" s="1269"/>
      <c r="L51" s="1312"/>
      <c r="P51" s="2259"/>
      <c r="Q51" s="2259"/>
      <c r="R51" s="358"/>
      <c r="S51" s="1280"/>
      <c r="T51" s="290" t="s">
        <v>411</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212</v>
      </c>
      <c r="B52" s="1269" t="s">
        <v>213</v>
      </c>
      <c r="C52" s="1269" t="s">
        <v>214</v>
      </c>
      <c r="D52" s="1269" t="s">
        <v>215</v>
      </c>
      <c r="E52" s="2292"/>
      <c r="F52" s="2292"/>
      <c r="G52" s="2292"/>
      <c r="H52" s="2292"/>
      <c r="I52" s="2129"/>
      <c r="J52" s="1269"/>
      <c r="K52" s="1269"/>
      <c r="L52" s="1312"/>
      <c r="P52" s="2259"/>
      <c r="Q52" s="1956"/>
      <c r="R52" s="358"/>
      <c r="S52" s="1280"/>
      <c r="T52" s="289" t="s">
        <v>412</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212</v>
      </c>
      <c r="B53" s="1269" t="s">
        <v>213</v>
      </c>
      <c r="C53" s="1269" t="s">
        <v>214</v>
      </c>
      <c r="D53" s="1269" t="s">
        <v>215</v>
      </c>
      <c r="E53" s="2292"/>
      <c r="F53" s="2292"/>
      <c r="G53" s="2292"/>
      <c r="H53" s="2291"/>
      <c r="I53" s="1269"/>
      <c r="J53" s="1269"/>
      <c r="K53" s="1269"/>
      <c r="L53" s="1312"/>
      <c r="M53" s="1612"/>
      <c r="N53" s="1612"/>
      <c r="O53" s="1637"/>
      <c r="P53" s="362"/>
      <c r="Q53" s="377"/>
      <c r="R53" s="357"/>
      <c r="S53" s="1280"/>
      <c r="T53" s="367" t="s">
        <v>413</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4.2">
      <c r="A54" s="1377" t="s">
        <v>212</v>
      </c>
      <c r="B54" s="1377" t="s">
        <v>213</v>
      </c>
      <c r="C54" s="1377" t="s">
        <v>214</v>
      </c>
      <c r="D54" s="1376"/>
      <c r="E54" s="2292"/>
      <c r="F54" s="2292"/>
      <c r="G54" s="2291"/>
      <c r="H54" s="1376"/>
      <c r="I54" s="1376"/>
      <c r="J54" s="1376"/>
      <c r="K54" s="1376"/>
      <c r="L54" s="1379"/>
      <c r="M54" s="1380"/>
      <c r="N54" s="1380"/>
      <c r="O54" s="353"/>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4</v>
      </c>
    </row>
    <row s="1644" customFormat="1" customHeight="1" ht="4.2">
      <c r="A55" s="1377" t="s">
        <v>212</v>
      </c>
      <c r="B55" s="1377" t="s">
        <v>213</v>
      </c>
      <c r="C55" s="1376"/>
      <c r="D55" s="1376"/>
      <c r="E55" s="2292"/>
      <c r="F55" s="2291"/>
      <c r="G55" s="1376"/>
      <c r="H55" s="1376"/>
      <c r="I55" s="1376"/>
      <c r="J55" s="1376"/>
      <c r="K55" s="1376"/>
      <c r="L55" s="1379"/>
      <c r="M55" s="1381"/>
      <c r="N55" s="1381"/>
      <c r="O55" s="35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4</v>
      </c>
    </row>
    <row s="1644" customFormat="1" customHeight="1" ht="4.2">
      <c r="A56" s="1377" t="s">
        <v>212</v>
      </c>
      <c r="B56" s="1377"/>
      <c r="C56" s="1377"/>
      <c r="D56" s="1377"/>
      <c r="E56" s="2291"/>
      <c r="F56" s="1377"/>
      <c r="G56" s="1377"/>
      <c r="H56" s="1377"/>
      <c r="I56" s="1377"/>
      <c r="J56" s="1377"/>
      <c r="K56" s="1377"/>
      <c r="L56" s="1383"/>
      <c r="M56" s="1381"/>
      <c r="N56" s="1381"/>
      <c r="O56" s="353"/>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4</v>
      </c>
    </row>
    <row s="1644" customFormat="1" customHeight="1" ht="4.2">
      <c r="A57" s="1376"/>
      <c r="B57" s="1376"/>
      <c r="C57" s="1376"/>
      <c r="D57" s="1376"/>
      <c r="E57" s="1377"/>
      <c r="F57" s="1376"/>
      <c r="G57" s="1376"/>
      <c r="H57" s="1376"/>
      <c r="I57" s="1376"/>
      <c r="J57" s="1376"/>
      <c r="K57" s="1376"/>
      <c r="L57" s="1379"/>
      <c r="M57" s="1381"/>
      <c r="N57" s="1381"/>
      <c r="O57" s="35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4</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97C193-3547-5315-A24B-BB796C3A6815}"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403</v>
      </c>
      <c r="M6" s="1637"/>
      <c r="P6" s="2259">
        <v>1</v>
      </c>
      <c r="Q6" s="1956"/>
      <c r="R6" s="358"/>
      <c r="S6" s="1960">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406</v>
      </c>
      <c r="M7" s="1637"/>
      <c r="N7" s="1633"/>
      <c r="P7" s="2259"/>
      <c r="Q7" s="2259">
        <v>1</v>
      </c>
      <c r="R7" s="359"/>
      <c r="S7" s="1960">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409</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411</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412</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413</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976"/>
      <c r="B13" s="1976"/>
      <c r="C13" s="1976"/>
      <c r="D13" s="1976"/>
      <c r="E13" s="2292"/>
      <c r="F13" s="2292"/>
      <c r="G13" s="2291"/>
      <c r="H13" s="1976"/>
      <c r="I13" s="1976"/>
      <c r="J13" s="1976"/>
      <c r="K13" s="1976"/>
      <c r="L13" s="1382"/>
      <c r="M13" s="1612"/>
      <c r="N13" s="1612"/>
      <c r="O13" s="163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976"/>
      <c r="B14" s="1976"/>
      <c r="C14" s="1976"/>
      <c r="D14" s="1976"/>
      <c r="E14" s="2292"/>
      <c r="F14" s="2291"/>
      <c r="G14" s="1976"/>
      <c r="H14" s="1976"/>
      <c r="I14" s="1976"/>
      <c r="J14" s="1976"/>
      <c r="K14" s="1976"/>
      <c r="L14" s="1382"/>
      <c r="M14" s="1977"/>
      <c r="N14" s="1977"/>
      <c r="O14" s="1637"/>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976"/>
      <c r="B15" s="1976"/>
      <c r="C15" s="1976"/>
      <c r="D15" s="1976"/>
      <c r="E15" s="2291"/>
      <c r="F15" s="1976"/>
      <c r="G15" s="1976"/>
      <c r="H15" s="1976"/>
      <c r="I15" s="1976"/>
      <c r="J15" s="1976"/>
      <c r="K15" s="1976"/>
      <c r="L15" s="1382"/>
      <c r="M15" s="1977"/>
      <c r="N15" s="1977"/>
      <c r="O15" s="1637"/>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66</v>
      </c>
      <c r="AJ17" s="2269"/>
      <c r="AK17" s="2270" t="s">
        <v>66</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417</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418</v>
      </c>
      <c r="P22" s="1364"/>
      <c r="Q22" s="1373"/>
      <c r="R22" s="1373"/>
      <c r="S22" s="731"/>
      <c r="T22" s="1368" t="s">
        <v>419</v>
      </c>
      <c r="AA22" s="597" t="s">
        <v>420</v>
      </c>
      <c r="AC22" s="597" t="s">
        <v>421</v>
      </c>
      <c r="AD22" s="1368" t="s">
        <v>419</v>
      </c>
      <c r="AI22" s="597" t="s">
        <v>422</v>
      </c>
      <c r="AK22" s="597" t="s">
        <v>421</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423</v>
      </c>
      <c r="T30" s="2252"/>
      <c r="U30" s="1374"/>
      <c r="V30" s="2266" t="str">
        <f>IF(TITLE_DATE_PR_CHANGE="",IF(TITLE_DATE_PR="","",TITLE_DATE_PR),TITLE_DATE_PR_CHANGE)</f>
        <v/>
      </c>
      <c r="W30" s="2266"/>
      <c r="X30" s="2266"/>
      <c r="Y30" s="2266"/>
      <c r="Z30" s="2266"/>
      <c r="AA30" s="2266"/>
      <c r="AB30" s="2266"/>
      <c r="AC30" s="1637"/>
      <c r="AD30" s="2266" t="str">
        <f>IF(TITLE_DATE_PR_CHANGE="",IF(TITLE_DATE_PR="","",TITLE_DATE_PR),TITLE_DATE_PR_CHANGE)</f>
        <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424</v>
      </c>
      <c r="T31" s="2252"/>
      <c r="U31" s="1374"/>
      <c r="V31" s="2253" t="str">
        <f>IF(TITLE_NUMBER_PR_CHANGE="",IF(TITLE_NUMBER_PR="","",TITLE_NUMBER_PR),TITLE_NUMBER_PR_CHANGE)</f>
        <v/>
      </c>
      <c r="W31" s="2253"/>
      <c r="X31" s="2253"/>
      <c r="Y31" s="2253"/>
      <c r="Z31" s="2253"/>
      <c r="AA31" s="2253"/>
      <c r="AB31" s="2253"/>
      <c r="AC31" s="1637"/>
      <c r="AD31" s="2253" t="str">
        <f>IF(TITLE_NUMBER_PR_CHANGE="",IF(TITLE_NUMBER_PR="","",TITLE_NUMBER_PR),TITLE_NUMBER_PR_CHANGE)</f>
        <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425</v>
      </c>
      <c r="T34" s="2252"/>
      <c r="U34" s="1374"/>
      <c r="V34" s="2266" t="str">
        <f>IF(TITLE_DATE_PR_CHANGE="",IF(TITLE_DATE_PR="","",TITLE_DATE_PR),TITLE_DATE_PR_CHANGE)</f>
        <v/>
      </c>
      <c r="W34" s="2266"/>
      <c r="X34" s="2266"/>
      <c r="Y34" s="2266"/>
      <c r="Z34" s="2266"/>
      <c r="AA34" s="2266"/>
      <c r="AB34" s="2266"/>
      <c r="AC34" s="1637"/>
      <c r="AD34" s="2266" t="str">
        <f>IF(TITLE_DATE_PR_CHANGE="",IF(TITLE_DATE_PR="","",TITLE_DATE_PR),TITLE_DATE_PR_CHANGE)</f>
        <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426</v>
      </c>
      <c r="T35" s="2252"/>
      <c r="U35" s="1374"/>
      <c r="V35" s="2253" t="str">
        <f>IF(TITLE_NUMBER_PR_CHANGE="",IF(TITLE_NUMBER_PR="","",TITLE_NUMBER_PR),TITLE_NUMBER_PR_CHANGE)</f>
        <v/>
      </c>
      <c r="W35" s="2253"/>
      <c r="X35" s="2253"/>
      <c r="Y35" s="2253"/>
      <c r="Z35" s="2253"/>
      <c r="AA35" s="2253"/>
      <c r="AB35" s="2253"/>
      <c r="AC35" s="1637"/>
      <c r="AD35" s="2253" t="str">
        <f>IF(TITLE_NUMBER_PR_CHANGE="",IF(TITLE_NUMBER_PR="","",TITLE_NUMBER_PR),TITLE_NUMBER_PR_CHANGE)</f>
        <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427</v>
      </c>
      <c r="AD36" s="1637"/>
      <c r="AE36" s="1637"/>
      <c r="AF36" s="1637"/>
      <c r="AG36" s="1637"/>
      <c r="AH36" s="1637"/>
      <c r="AI36" s="1637"/>
      <c r="AJ36" s="1637"/>
      <c r="AK36" s="1644" t="s">
        <v>427</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633">
        <v>14</v>
      </c>
    </row>
    <row customHeight="1" ht="14.699999999999998">
      <c r="Q39" s="378"/>
      <c r="R39" s="378"/>
      <c r="S39" s="2275" t="s">
        <v>88</v>
      </c>
      <c r="T39" s="2211" t="s">
        <v>428</v>
      </c>
      <c r="U39" s="339"/>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633">
        <v>14</v>
      </c>
    </row>
    <row customHeight="1" ht="35.699999999999996">
      <c r="Q40" s="378"/>
      <c r="R40" s="378"/>
      <c r="S40" s="2275"/>
      <c r="T40" s="2211"/>
      <c r="U40" s="1033"/>
      <c r="V40" s="2262" t="s">
        <v>433</v>
      </c>
      <c r="W40" s="2285" t="s">
        <v>434</v>
      </c>
      <c r="X40" s="2264" t="s">
        <v>435</v>
      </c>
      <c r="Y40" s="2265"/>
      <c r="Z40" s="2264" t="s">
        <v>449</v>
      </c>
      <c r="AA40" s="2271"/>
      <c r="AB40" s="2265"/>
      <c r="AC40" s="2280"/>
      <c r="AD40" s="2262" t="s">
        <v>433</v>
      </c>
      <c r="AE40" s="2285" t="s">
        <v>434</v>
      </c>
      <c r="AF40" s="2264" t="s">
        <v>435</v>
      </c>
      <c r="AG40" s="2265"/>
      <c r="AH40" s="2264" t="s">
        <v>436</v>
      </c>
      <c r="AI40" s="2271"/>
      <c r="AJ40" s="2265"/>
      <c r="AK40" s="2280"/>
      <c r="AL40" s="2283"/>
      <c r="AM40" s="2129"/>
      <c r="AS40" s="1633">
        <v>34</v>
      </c>
    </row>
    <row customHeight="1" ht="35.699999999999996">
      <c r="A41" s="1268"/>
      <c r="B41" s="1268" t="s">
        <v>137</v>
      </c>
      <c r="C41" s="1268" t="s">
        <v>138</v>
      </c>
      <c r="D41" s="1268" t="s">
        <v>139</v>
      </c>
      <c r="E41" s="1312" t="s">
        <v>437</v>
      </c>
      <c r="F41" s="1312" t="s">
        <v>438</v>
      </c>
      <c r="G41" s="1312" t="s">
        <v>439</v>
      </c>
      <c r="H41" s="1312" t="s">
        <v>440</v>
      </c>
      <c r="I41" s="1312" t="s">
        <v>441</v>
      </c>
      <c r="J41" s="1312" t="s">
        <v>442</v>
      </c>
      <c r="K41" s="1312" t="s">
        <v>443</v>
      </c>
      <c r="L41" s="1312" t="s">
        <v>418</v>
      </c>
      <c r="Q41" s="378"/>
      <c r="R41" s="378"/>
      <c r="S41" s="2275"/>
      <c r="T41" s="2211"/>
      <c r="U41" s="304"/>
      <c r="V41" s="2263"/>
      <c r="W41" s="2286"/>
      <c r="X41" s="1940" t="s">
        <v>444</v>
      </c>
      <c r="Y41" s="1940" t="s">
        <v>445</v>
      </c>
      <c r="Z41" s="1940" t="s">
        <v>446</v>
      </c>
      <c r="AA41" s="2272" t="s">
        <v>447</v>
      </c>
      <c r="AB41" s="2273"/>
      <c r="AC41" s="2281"/>
      <c r="AD41" s="2263"/>
      <c r="AE41" s="2286"/>
      <c r="AF41" s="1940" t="s">
        <v>444</v>
      </c>
      <c r="AG41" s="1940" t="s">
        <v>445</v>
      </c>
      <c r="AH41" s="1940" t="s">
        <v>446</v>
      </c>
      <c r="AI41" s="2272" t="s">
        <v>447</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109</v>
      </c>
      <c r="T42" s="1257" t="s">
        <v>110</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212</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212</v>
      </c>
      <c r="B44" s="1269" t="s">
        <v>213</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1626"/>
      <c r="AP44" s="1626" t="str">
        <f>IF(T44="","",T44)</f>
        <v>Территория действия тарифа</v>
      </c>
      <c r="AQ44" s="1626"/>
      <c r="AR44" s="1626"/>
      <c r="AS44" s="1633">
        <v>21</v>
      </c>
    </row>
    <row customHeight="1" ht="24">
      <c r="A45" s="1269" t="s">
        <v>212</v>
      </c>
      <c r="B45" s="1269" t="s">
        <v>213</v>
      </c>
      <c r="C45" s="1269" t="s">
        <v>214</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1626"/>
      <c r="AP45" s="1626" t="str">
        <f>IF(T45="","",T45)</f>
        <v>Наименование системы теплоснабжения </v>
      </c>
      <c r="AQ45" s="1626"/>
      <c r="AR45" s="1626"/>
      <c r="AS45" s="1633">
        <v>23</v>
      </c>
    </row>
    <row customHeight="1" ht="22.049999999999997">
      <c r="A46" s="1269" t="s">
        <v>212</v>
      </c>
      <c r="B46" s="1269" t="s">
        <v>213</v>
      </c>
      <c r="C46" s="1269" t="s">
        <v>214</v>
      </c>
      <c r="D46" s="1269" t="s">
        <v>215</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1626"/>
      <c r="AP46" s="1626" t="str">
        <f>IF(T46="","",T46)</f>
        <v>Источник тепловой энергии  </v>
      </c>
      <c r="AQ46" s="1626"/>
      <c r="AR46" s="1626"/>
      <c r="AS46" s="1633">
        <v>21</v>
      </c>
    </row>
    <row customHeight="1" ht="49.5">
      <c r="A47" s="1269" t="s">
        <v>212</v>
      </c>
      <c r="B47" s="1269" t="s">
        <v>213</v>
      </c>
      <c r="C47" s="1269" t="s">
        <v>214</v>
      </c>
      <c r="D47" s="1269" t="s">
        <v>215</v>
      </c>
      <c r="E47" s="2292"/>
      <c r="F47" s="2292"/>
      <c r="G47" s="2292"/>
      <c r="H47" s="2292"/>
      <c r="I47" s="2129" t="str">
        <f>S46&amp;".1"</f>
        <v>....1</v>
      </c>
      <c r="J47" s="1269"/>
      <c r="K47" s="1269"/>
      <c r="L47" s="1312" t="s">
        <v>403</v>
      </c>
      <c r="P47" s="2259">
        <v>1</v>
      </c>
      <c r="Q47" s="1956"/>
      <c r="R47" s="358"/>
      <c r="S47" s="1960"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212</v>
      </c>
      <c r="B48" s="1269" t="s">
        <v>213</v>
      </c>
      <c r="C48" s="1269" t="s">
        <v>214</v>
      </c>
      <c r="D48" s="1269" t="s">
        <v>215</v>
      </c>
      <c r="E48" s="2292"/>
      <c r="F48" s="2292"/>
      <c r="G48" s="2292"/>
      <c r="H48" s="2292"/>
      <c r="I48" s="2103"/>
      <c r="J48" s="2129" t="str">
        <f>I47&amp;".1"</f>
        <v>....1.1</v>
      </c>
      <c r="K48" s="1269"/>
      <c r="L48" s="1312" t="s">
        <v>406</v>
      </c>
      <c r="P48" s="2259"/>
      <c r="Q48" s="2259">
        <v>1</v>
      </c>
      <c r="R48" s="359"/>
      <c r="S48" s="1960"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1626"/>
      <c r="AP48" s="1626" t="str">
        <f>IF(T48="","",T48)</f>
        <v>Группа потребителей</v>
      </c>
      <c r="AQ48" s="1626"/>
      <c r="AR48" s="1626"/>
      <c r="AS48" s="1633">
        <v>21</v>
      </c>
    </row>
    <row customHeight="1" ht="22.049999999999997">
      <c r="A49" s="1269" t="s">
        <v>212</v>
      </c>
      <c r="B49" s="1269" t="s">
        <v>213</v>
      </c>
      <c r="C49" s="1269" t="s">
        <v>214</v>
      </c>
      <c r="D49" s="1269" t="s">
        <v>215</v>
      </c>
      <c r="E49" s="2292"/>
      <c r="F49" s="2292"/>
      <c r="G49" s="2292"/>
      <c r="H49" s="2292"/>
      <c r="I49" s="2103"/>
      <c r="J49" s="2103"/>
      <c r="K49" s="2129" t="str">
        <f>J48&amp;".1"</f>
        <v>....1.1.1</v>
      </c>
      <c r="L49" s="1312" t="s">
        <v>409</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410</v>
      </c>
      <c r="AN49" s="1638">
        <f>STRCHECKDATE(V50:AL50)</f>
      </c>
      <c r="AO49" s="1626"/>
      <c r="AP49" s="1626" t="str">
        <f>IF(T49="","",T49)</f>
        <v/>
      </c>
      <c r="AQ49" s="1626"/>
      <c r="AR49" s="1626"/>
      <c r="AS49" s="1633">
        <v>21</v>
      </c>
    </row>
    <row customHeight="1" ht="1.05">
      <c r="A50" s="1269" t="s">
        <v>212</v>
      </c>
      <c r="B50" s="1269" t="s">
        <v>213</v>
      </c>
      <c r="C50" s="1269" t="s">
        <v>214</v>
      </c>
      <c r="D50" s="1269" t="s">
        <v>215</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212</v>
      </c>
      <c r="B51" s="1269" t="s">
        <v>213</v>
      </c>
      <c r="C51" s="1269" t="s">
        <v>214</v>
      </c>
      <c r="D51" s="1269" t="s">
        <v>215</v>
      </c>
      <c r="E51" s="2292"/>
      <c r="F51" s="2292"/>
      <c r="G51" s="2292"/>
      <c r="H51" s="2292"/>
      <c r="I51" s="2103"/>
      <c r="J51" s="2129"/>
      <c r="K51" s="1269"/>
      <c r="L51" s="1312"/>
      <c r="P51" s="2259"/>
      <c r="Q51" s="2259"/>
      <c r="R51" s="358"/>
      <c r="S51" s="1280"/>
      <c r="T51" s="290" t="s">
        <v>411</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212</v>
      </c>
      <c r="B52" s="1269" t="s">
        <v>213</v>
      </c>
      <c r="C52" s="1269" t="s">
        <v>214</v>
      </c>
      <c r="D52" s="1269" t="s">
        <v>215</v>
      </c>
      <c r="E52" s="2292"/>
      <c r="F52" s="2292"/>
      <c r="G52" s="2292"/>
      <c r="H52" s="2292"/>
      <c r="I52" s="2129"/>
      <c r="J52" s="1269"/>
      <c r="K52" s="1269"/>
      <c r="L52" s="1312"/>
      <c r="P52" s="2259"/>
      <c r="Q52" s="1956"/>
      <c r="R52" s="358"/>
      <c r="S52" s="1280"/>
      <c r="T52" s="289" t="s">
        <v>412</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212</v>
      </c>
      <c r="B53" s="1269" t="s">
        <v>213</v>
      </c>
      <c r="C53" s="1269" t="s">
        <v>214</v>
      </c>
      <c r="D53" s="1269" t="s">
        <v>215</v>
      </c>
      <c r="E53" s="2292"/>
      <c r="F53" s="2292"/>
      <c r="G53" s="2292"/>
      <c r="H53" s="2291"/>
      <c r="I53" s="1269"/>
      <c r="J53" s="1269"/>
      <c r="K53" s="1269"/>
      <c r="L53" s="1312"/>
      <c r="M53" s="1612"/>
      <c r="N53" s="1612"/>
      <c r="O53" s="1637"/>
      <c r="P53" s="362"/>
      <c r="Q53" s="377"/>
      <c r="R53" s="357"/>
      <c r="S53" s="1280"/>
      <c r="T53" s="367" t="s">
        <v>413</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1.05">
      <c r="A54" s="1269" t="s">
        <v>212</v>
      </c>
      <c r="B54" s="1269" t="s">
        <v>213</v>
      </c>
      <c r="C54" s="1269" t="s">
        <v>214</v>
      </c>
      <c r="D54" s="1976"/>
      <c r="E54" s="2292"/>
      <c r="F54" s="2292"/>
      <c r="G54" s="2291"/>
      <c r="H54" s="1976"/>
      <c r="I54" s="1976"/>
      <c r="J54" s="1976"/>
      <c r="K54" s="1976"/>
      <c r="L54" s="1382"/>
      <c r="M54" s="1612"/>
      <c r="N54" s="1612"/>
      <c r="O54" s="163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1</v>
      </c>
    </row>
    <row s="1644" customFormat="1" customHeight="1" ht="1.05">
      <c r="A55" s="1269" t="s">
        <v>212</v>
      </c>
      <c r="B55" s="1269" t="s">
        <v>213</v>
      </c>
      <c r="C55" s="1976"/>
      <c r="D55" s="1976"/>
      <c r="E55" s="2292"/>
      <c r="F55" s="2291"/>
      <c r="G55" s="1976"/>
      <c r="H55" s="1976"/>
      <c r="I55" s="1976"/>
      <c r="J55" s="1976"/>
      <c r="K55" s="1976"/>
      <c r="L55" s="1382"/>
      <c r="M55" s="1977"/>
      <c r="N55" s="1977"/>
      <c r="O55" s="1637"/>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1</v>
      </c>
    </row>
    <row s="1644" customFormat="1" customHeight="1" ht="1.05">
      <c r="A56" s="1269" t="s">
        <v>212</v>
      </c>
      <c r="B56" s="1269"/>
      <c r="C56" s="1269"/>
      <c r="D56" s="1269"/>
      <c r="E56" s="2291"/>
      <c r="F56" s="1269"/>
      <c r="G56" s="1269"/>
      <c r="H56" s="1269"/>
      <c r="I56" s="1269"/>
      <c r="J56" s="1269"/>
      <c r="K56" s="1269"/>
      <c r="L56" s="1312"/>
      <c r="M56" s="1977"/>
      <c r="N56" s="1977"/>
      <c r="O56" s="1637"/>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1</v>
      </c>
    </row>
    <row s="1644" customFormat="1" customHeight="1" ht="1.05">
      <c r="A57" s="1976"/>
      <c r="B57" s="1976"/>
      <c r="C57" s="1976"/>
      <c r="D57" s="1976"/>
      <c r="E57" s="1269"/>
      <c r="F57" s="1976"/>
      <c r="G57" s="1976"/>
      <c r="H57" s="1976"/>
      <c r="I57" s="1976"/>
      <c r="J57" s="1976"/>
      <c r="K57" s="1976"/>
      <c r="L57" s="1382"/>
      <c r="M57" s="1977"/>
      <c r="N57" s="1977"/>
      <c r="O57" s="1637"/>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1</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209DB2-72E6-8975-E386-63C1E4589F97}"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7109375" hidden="1" customWidth="1"/>
    <col min="22" max="22" style="1637" width="1.7109375" hidden="1" customWidth="1"/>
    <col min="23" max="23" style="1637" width="24.7109375" hidden="1" customWidth="1"/>
    <col min="24" max="25" style="1637" width="0.14062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0.140625" customWidth="1"/>
    <col min="31" max="31" style="1637" width="24.00390625" customWidth="1"/>
    <col min="32" max="33" style="1637" width="0.14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403</v>
      </c>
      <c r="M6" s="539"/>
      <c r="P6" s="2259">
        <v>1</v>
      </c>
      <c r="Q6" s="1333"/>
      <c r="R6" s="358"/>
      <c r="S6" s="1338">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406</v>
      </c>
      <c r="M7" s="539"/>
      <c r="N7" s="1368"/>
      <c r="P7" s="2259"/>
      <c r="Q7" s="2259">
        <v>1</v>
      </c>
      <c r="R7" s="359"/>
      <c r="S7" s="1338">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409</v>
      </c>
      <c r="M8" s="539"/>
      <c r="N8" s="1368"/>
      <c r="O8" s="1368"/>
      <c r="P8" s="2259"/>
      <c r="Q8" s="2259"/>
      <c r="R8" s="359">
        <v>1</v>
      </c>
      <c r="S8" s="1338">
        <f>$K8</f>
      </c>
      <c r="T8" s="1349"/>
      <c r="U8" s="302"/>
      <c r="V8" s="327"/>
      <c r="W8" s="753"/>
      <c r="X8" s="327"/>
      <c r="Y8" s="386"/>
      <c r="Z8" s="2267"/>
      <c r="AA8" s="2109" t="s">
        <v>66</v>
      </c>
      <c r="AB8" s="2267"/>
      <c r="AC8" s="2109" t="s">
        <v>66</v>
      </c>
      <c r="AD8" s="327"/>
      <c r="AE8" s="753"/>
      <c r="AF8" s="327"/>
      <c r="AG8" s="386"/>
      <c r="AH8" s="2267"/>
      <c r="AI8" s="2109" t="s">
        <v>66</v>
      </c>
      <c r="AJ8" s="2267"/>
      <c r="AK8" s="2109" t="s">
        <v>66</v>
      </c>
      <c r="AL8" s="327"/>
      <c r="AM8" s="2255" t="s">
        <v>410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413</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33.7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29.25">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28</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93"/>
      <c r="Y39" s="2293"/>
      <c r="Z39" s="2277"/>
      <c r="AA39" s="2277"/>
      <c r="AB39" s="2278"/>
      <c r="AC39" s="2279" t="s">
        <v>430</v>
      </c>
      <c r="AD39" s="2276" t="s">
        <v>429</v>
      </c>
      <c r="AE39" s="2277"/>
      <c r="AF39" s="2293"/>
      <c r="AG39" s="2293"/>
      <c r="AH39" s="2277"/>
      <c r="AI39" s="2277"/>
      <c r="AJ39" s="2278"/>
      <c r="AK39" s="2279" t="s">
        <v>431</v>
      </c>
      <c r="AL39" s="2282" t="s">
        <v>432</v>
      </c>
      <c r="AM39" s="2129"/>
      <c r="AS39" s="1157">
        <v>14</v>
      </c>
    </row>
    <row customHeight="1" ht="24">
      <c r="Q40" s="378"/>
      <c r="R40" s="378"/>
      <c r="S40" s="2275"/>
      <c r="T40" s="2211"/>
      <c r="U40" s="1033"/>
      <c r="V40" s="2294" t="s">
        <v>433</v>
      </c>
      <c r="W40" s="2296" t="s">
        <v>434</v>
      </c>
      <c r="X40" s="1378" t="s">
        <v>435</v>
      </c>
      <c r="Y40" s="1378"/>
      <c r="Z40" s="2271" t="s">
        <v>436</v>
      </c>
      <c r="AA40" s="2271"/>
      <c r="AB40" s="2265"/>
      <c r="AC40" s="2280"/>
      <c r="AD40" s="2294" t="s">
        <v>433</v>
      </c>
      <c r="AE40" s="2296" t="s">
        <v>434</v>
      </c>
      <c r="AF40" s="1378" t="s">
        <v>435</v>
      </c>
      <c r="AG40" s="1378"/>
      <c r="AH40" s="2271" t="s">
        <v>436</v>
      </c>
      <c r="AI40" s="2271"/>
      <c r="AJ40" s="2265"/>
      <c r="AK40" s="2280"/>
      <c r="AL40" s="2283"/>
      <c r="AM40" s="2129"/>
      <c r="AS40" s="1157">
        <v>23</v>
      </c>
    </row>
    <row s="1268" customFormat="1" customHeight="1" ht="24">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M41" s="1364"/>
      <c r="N41" s="1364"/>
      <c r="O41" s="1364"/>
      <c r="P41" s="1330"/>
      <c r="Q41" s="378"/>
      <c r="R41" s="378"/>
      <c r="S41" s="2275"/>
      <c r="T41" s="2211"/>
      <c r="U41" s="304"/>
      <c r="V41" s="2295"/>
      <c r="W41" s="2297"/>
      <c r="X41" s="1375" t="s">
        <v>444</v>
      </c>
      <c r="Y41" s="1375" t="s">
        <v>445</v>
      </c>
      <c r="Z41" s="1336" t="s">
        <v>446</v>
      </c>
      <c r="AA41" s="2272" t="s">
        <v>447</v>
      </c>
      <c r="AB41" s="2273"/>
      <c r="AC41" s="2281"/>
      <c r="AD41" s="2295"/>
      <c r="AE41" s="2297"/>
      <c r="AF41" s="1375" t="s">
        <v>444</v>
      </c>
      <c r="AG41" s="1375" t="s">
        <v>445</v>
      </c>
      <c r="AH41" s="1336" t="s">
        <v>446</v>
      </c>
      <c r="AI41" s="2272" t="s">
        <v>447</v>
      </c>
      <c r="AJ41" s="2273"/>
      <c r="AK41" s="2281"/>
      <c r="AL41" s="2284"/>
      <c r="AM41" s="2129"/>
      <c r="AN41" s="513"/>
      <c r="AO41" s="502"/>
      <c r="AP41" s="502"/>
      <c r="AQ41" s="502"/>
      <c r="AR41" s="502"/>
      <c r="AS41" s="584">
        <v>23</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43">
        <f>OFFSET(X42,0,-1)+1</f>
        <v>1</v>
      </c>
      <c r="Y42" s="1343">
        <f>OFFSET(Y42,0,-1)+1</f>
        <v>2</v>
      </c>
      <c r="Z42" s="1337">
        <f>OFFSET(Z42,0,-1)+1</f>
        <v>3</v>
      </c>
      <c r="AA42" s="2274">
        <f>OFFSET(AA42,0,-1)+1</f>
        <v>4</v>
      </c>
      <c r="AB42" s="2274"/>
      <c r="AC42" s="1337">
        <f>OFFSET(AC42,0,-2)+1</f>
        <v>5</v>
      </c>
      <c r="AD42" s="1337">
        <f>OFFSET(AD42,0,-1)+1</f>
        <v>6</v>
      </c>
      <c r="AE42" s="1337"/>
      <c r="AF42" s="1343">
        <f>OFFSET(AF42,0,-1)+1</f>
        <v>1</v>
      </c>
      <c r="AG42" s="1343">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194</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194</v>
      </c>
      <c r="B44" s="1365" t="s">
        <v>195</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21</v>
      </c>
    </row>
    <row customHeight="1" ht="24">
      <c r="A45" s="1365" t="s">
        <v>194</v>
      </c>
      <c r="B45" s="1365" t="s">
        <v>195</v>
      </c>
      <c r="C45" s="1365" t="s">
        <v>196</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2.049999999999997">
      <c r="A46" s="1365" t="s">
        <v>194</v>
      </c>
      <c r="B46" s="1365" t="s">
        <v>195</v>
      </c>
      <c r="C46" s="1365" t="s">
        <v>196</v>
      </c>
      <c r="D46" s="1365" t="s">
        <v>197</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21</v>
      </c>
    </row>
    <row customHeight="1" ht="49.5">
      <c r="A47" s="1365" t="s">
        <v>194</v>
      </c>
      <c r="B47" s="1365" t="s">
        <v>195</v>
      </c>
      <c r="C47" s="1365" t="s">
        <v>196</v>
      </c>
      <c r="D47" s="1365" t="s">
        <v>197</v>
      </c>
      <c r="E47" s="2261"/>
      <c r="F47" s="2261"/>
      <c r="G47" s="2261"/>
      <c r="H47" s="2261"/>
      <c r="I47" s="2258" t="str">
        <f>S46&amp;".1"</f>
        <v>....1</v>
      </c>
      <c r="J47" s="1365"/>
      <c r="K47" s="1365"/>
      <c r="L47" s="1366" t="s">
        <v>403</v>
      </c>
      <c r="P47" s="2259">
        <v>1</v>
      </c>
      <c r="Q47" s="1333"/>
      <c r="R47" s="358"/>
      <c r="S47" s="1338"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194</v>
      </c>
      <c r="B48" s="1365" t="s">
        <v>195</v>
      </c>
      <c r="C48" s="1365" t="s">
        <v>196</v>
      </c>
      <c r="D48" s="1365" t="s">
        <v>197</v>
      </c>
      <c r="E48" s="2261"/>
      <c r="F48" s="2261"/>
      <c r="G48" s="2261"/>
      <c r="H48" s="2261"/>
      <c r="I48" s="2288"/>
      <c r="J48" s="2258" t="str">
        <f>I47&amp;".1"</f>
        <v>....1.1</v>
      </c>
      <c r="K48" s="1365"/>
      <c r="L48" s="1366" t="s">
        <v>406</v>
      </c>
      <c r="P48" s="2259"/>
      <c r="Q48" s="2259">
        <v>1</v>
      </c>
      <c r="R48" s="359"/>
      <c r="S48" s="1338"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21</v>
      </c>
    </row>
    <row customHeight="1" ht="22.049999999999997">
      <c r="A49" s="1365" t="s">
        <v>194</v>
      </c>
      <c r="B49" s="1365" t="s">
        <v>195</v>
      </c>
      <c r="C49" s="1365" t="s">
        <v>196</v>
      </c>
      <c r="D49" s="1365" t="s">
        <v>197</v>
      </c>
      <c r="E49" s="2261"/>
      <c r="F49" s="2261"/>
      <c r="G49" s="2261"/>
      <c r="H49" s="2261"/>
      <c r="I49" s="2288"/>
      <c r="J49" s="2288"/>
      <c r="K49" s="2258" t="str">
        <f>J48&amp;".1"</f>
        <v>....1.1.1</v>
      </c>
      <c r="L49" s="1366" t="s">
        <v>409</v>
      </c>
      <c r="P49" s="2259"/>
      <c r="Q49" s="2259"/>
      <c r="R49" s="359">
        <v>1</v>
      </c>
      <c r="S49" s="1338" t="str">
        <f>$K49</f>
        <v>....1.1.1</v>
      </c>
      <c r="T49" s="1349"/>
      <c r="U49" s="302"/>
      <c r="V49" s="327"/>
      <c r="W49" s="753"/>
      <c r="X49" s="327"/>
      <c r="Y49" s="386"/>
      <c r="Z49" s="2267"/>
      <c r="AA49" s="2109" t="s">
        <v>66</v>
      </c>
      <c r="AB49" s="2267"/>
      <c r="AC49" s="2109" t="s">
        <v>66</v>
      </c>
      <c r="AD49" s="327"/>
      <c r="AE49" s="753"/>
      <c r="AF49" s="327"/>
      <c r="AG49" s="386"/>
      <c r="AH49" s="2267"/>
      <c r="AI49" s="2109" t="s">
        <v>66</v>
      </c>
      <c r="AJ49" s="2289"/>
      <c r="AK49" s="2109" t="s">
        <v>66</v>
      </c>
      <c r="AL49" s="1350"/>
      <c r="AM49" s="2255" t="s">
        <v>410</v>
      </c>
      <c r="AN49" s="513">
        <f>STRCHECKDATE(V50:AL50)</f>
      </c>
      <c r="AO49" s="502"/>
      <c r="AP49" s="502" t="str">
        <f>IF(T49="","",T49)</f>
        <v/>
      </c>
      <c r="AQ49" s="502"/>
      <c r="AR49" s="502"/>
      <c r="AS49" s="1157">
        <v>21</v>
      </c>
    </row>
    <row customHeight="1" ht="1.05">
      <c r="A50" s="1365" t="s">
        <v>194</v>
      </c>
      <c r="B50" s="1365" t="s">
        <v>195</v>
      </c>
      <c r="C50" s="1365" t="s">
        <v>196</v>
      </c>
      <c r="D50" s="1365" t="s">
        <v>197</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194</v>
      </c>
      <c r="B51" s="1365" t="s">
        <v>195</v>
      </c>
      <c r="C51" s="1365" t="s">
        <v>196</v>
      </c>
      <c r="D51" s="1365" t="s">
        <v>197</v>
      </c>
      <c r="E51" s="2261"/>
      <c r="F51" s="2261"/>
      <c r="G51" s="2261"/>
      <c r="H51" s="2261"/>
      <c r="I51" s="2288"/>
      <c r="J51" s="2258"/>
      <c r="K51" s="1365"/>
      <c r="L51" s="1366"/>
      <c r="P51" s="2259"/>
      <c r="Q51" s="2259"/>
      <c r="R51" s="358"/>
      <c r="S51" s="1280"/>
      <c r="T51" s="290"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194</v>
      </c>
      <c r="B52" s="1365" t="s">
        <v>195</v>
      </c>
      <c r="C52" s="1365" t="s">
        <v>196</v>
      </c>
      <c r="D52" s="1365" t="s">
        <v>197</v>
      </c>
      <c r="E52" s="2261"/>
      <c r="F52" s="2261"/>
      <c r="G52" s="2261"/>
      <c r="H52" s="2261"/>
      <c r="I52" s="2258"/>
      <c r="J52" s="1365"/>
      <c r="K52" s="1365"/>
      <c r="L52" s="1366"/>
      <c r="P52" s="2259"/>
      <c r="Q52" s="1333"/>
      <c r="R52" s="358"/>
      <c r="S52" s="1280"/>
      <c r="T52" s="289"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194</v>
      </c>
      <c r="B53" s="1365" t="s">
        <v>195</v>
      </c>
      <c r="C53" s="1365" t="s">
        <v>196</v>
      </c>
      <c r="D53" s="1365" t="s">
        <v>197</v>
      </c>
      <c r="E53" s="2261"/>
      <c r="F53" s="2261"/>
      <c r="G53" s="2261"/>
      <c r="H53" s="2260"/>
      <c r="I53" s="1365"/>
      <c r="J53" s="1365"/>
      <c r="K53" s="1365"/>
      <c r="L53" s="1366"/>
      <c r="M53" s="1367"/>
      <c r="N53" s="1367"/>
      <c r="O53" s="539"/>
      <c r="P53" s="362"/>
      <c r="Q53" s="377"/>
      <c r="R53" s="357"/>
      <c r="S53" s="1280"/>
      <c r="T53" s="367" t="s">
        <v>413</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194</v>
      </c>
      <c r="B54" s="1345" t="s">
        <v>195</v>
      </c>
      <c r="C54" s="1345" t="s">
        <v>196</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194</v>
      </c>
      <c r="B55" s="1345" t="s">
        <v>195</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194</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78.7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75</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39.7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38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0</v>
      </c>
      <c r="AE65" s="1157">
        <v>24</v>
      </c>
      <c r="AF65" s="1157">
        <v>0</v>
      </c>
      <c r="AG65" s="1157">
        <v>0</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FE0994-863F-5DCF-A841-F0A579877F0D}"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8.421875" hidden="1" customWidth="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403</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406</v>
      </c>
      <c r="M7" s="539"/>
      <c r="N7" s="1368"/>
      <c r="P7" s="2259"/>
      <c r="Q7" s="2259">
        <v>1</v>
      </c>
      <c r="R7" s="359"/>
      <c r="S7" s="1338">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409</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367"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63">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60</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5.699999999999996">
      <c r="Q40" s="378"/>
      <c r="R40" s="378"/>
      <c r="S40" s="2275"/>
      <c r="T40" s="2211"/>
      <c r="U40" s="1033"/>
      <c r="V40" s="2262" t="s">
        <v>433</v>
      </c>
      <c r="W40" s="2285"/>
      <c r="X40" s="2264" t="s">
        <v>435</v>
      </c>
      <c r="Y40" s="2265"/>
      <c r="Z40" s="2264" t="s">
        <v>436</v>
      </c>
      <c r="AA40" s="2271"/>
      <c r="AB40" s="2265"/>
      <c r="AC40" s="2280"/>
      <c r="AD40" s="2262" t="s">
        <v>450</v>
      </c>
      <c r="AE40" s="2285"/>
      <c r="AF40" s="2264" t="s">
        <v>435</v>
      </c>
      <c r="AG40" s="2265"/>
      <c r="AH40" s="2264" t="s">
        <v>436</v>
      </c>
      <c r="AI40" s="2271"/>
      <c r="AJ40" s="2265"/>
      <c r="AK40" s="2280"/>
      <c r="AL40" s="2283"/>
      <c r="AM40" s="2129"/>
      <c r="AS40" s="1157">
        <v>34</v>
      </c>
    </row>
    <row customHeight="1" ht="35.699999999999996">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340" t="s">
        <v>446</v>
      </c>
      <c r="AA41" s="2272" t="s">
        <v>447</v>
      </c>
      <c r="AB41" s="2273"/>
      <c r="AC41" s="2281"/>
      <c r="AD41" s="2263"/>
      <c r="AE41" s="2286"/>
      <c r="AF41" s="1224" t="s">
        <v>444</v>
      </c>
      <c r="AG41" s="1224" t="s">
        <v>445</v>
      </c>
      <c r="AH41" s="1340"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170</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170</v>
      </c>
      <c r="B44" s="1365" t="s">
        <v>171</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21</v>
      </c>
    </row>
    <row customHeight="1" ht="24">
      <c r="A45" s="1365" t="s">
        <v>170</v>
      </c>
      <c r="B45" s="1365" t="s">
        <v>171</v>
      </c>
      <c r="C45" s="1365" t="s">
        <v>172</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2.049999999999997">
      <c r="A46" s="1365" t="s">
        <v>170</v>
      </c>
      <c r="B46" s="1365" t="s">
        <v>171</v>
      </c>
      <c r="C46" s="1365" t="s">
        <v>172</v>
      </c>
      <c r="D46" s="1365" t="s">
        <v>173</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21</v>
      </c>
    </row>
    <row s="1644" customFormat="1" customHeight="1" ht="0">
      <c r="A47" s="1345" t="s">
        <v>170</v>
      </c>
      <c r="B47" s="1345" t="s">
        <v>171</v>
      </c>
      <c r="C47" s="1345" t="s">
        <v>172</v>
      </c>
      <c r="D47" s="1345" t="s">
        <v>173</v>
      </c>
      <c r="E47" s="2261"/>
      <c r="F47" s="2261"/>
      <c r="G47" s="2261"/>
      <c r="H47" s="2261"/>
      <c r="I47" s="2258" t="str">
        <f>S46&amp;".1"</f>
        <v>....1</v>
      </c>
      <c r="J47" s="1345"/>
      <c r="K47" s="1345"/>
      <c r="L47" s="1348" t="s">
        <v>403</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170</v>
      </c>
      <c r="B48" s="1365" t="s">
        <v>171</v>
      </c>
      <c r="C48" s="1365" t="s">
        <v>172</v>
      </c>
      <c r="D48" s="1365" t="s">
        <v>173</v>
      </c>
      <c r="E48" s="2261"/>
      <c r="F48" s="2261"/>
      <c r="G48" s="2261"/>
      <c r="H48" s="2261"/>
      <c r="I48" s="2288"/>
      <c r="J48" s="2258" t="str">
        <f>S46&amp;".1"</f>
        <v>....1</v>
      </c>
      <c r="K48" s="1365"/>
      <c r="L48" s="1366" t="s">
        <v>406</v>
      </c>
      <c r="P48" s="2259"/>
      <c r="Q48" s="2259">
        <v>1</v>
      </c>
      <c r="R48" s="359"/>
      <c r="S48" s="1338" t="str">
        <f>$J48</f>
        <v>....1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21</v>
      </c>
    </row>
    <row customHeight="1" ht="22.049999999999997">
      <c r="A49" s="1365" t="s">
        <v>170</v>
      </c>
      <c r="B49" s="1365" t="s">
        <v>171</v>
      </c>
      <c r="C49" s="1365" t="s">
        <v>172</v>
      </c>
      <c r="D49" s="1365" t="s">
        <v>173</v>
      </c>
      <c r="E49" s="2261"/>
      <c r="F49" s="2261"/>
      <c r="G49" s="2261"/>
      <c r="H49" s="2261"/>
      <c r="I49" s="2288"/>
      <c r="J49" s="2288"/>
      <c r="K49" s="2258" t="str">
        <f>J48&amp;".1"</f>
        <v>....1.1</v>
      </c>
      <c r="L49" s="1366" t="s">
        <v>409</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451</v>
      </c>
      <c r="AN49" s="513">
        <f>STRCHECKDATE(V50:AL50)</f>
      </c>
      <c r="AO49" s="502"/>
      <c r="AP49" s="502" t="str">
        <f>IF(T49="","",T49)</f>
        <v/>
      </c>
      <c r="AQ49" s="502"/>
      <c r="AR49" s="502"/>
      <c r="AS49" s="1157">
        <v>21</v>
      </c>
    </row>
    <row customHeight="1" ht="1.05">
      <c r="A50" s="1365" t="s">
        <v>170</v>
      </c>
      <c r="B50" s="1365" t="s">
        <v>171</v>
      </c>
      <c r="C50" s="1365" t="s">
        <v>172</v>
      </c>
      <c r="D50" s="1365" t="s">
        <v>173</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170</v>
      </c>
      <c r="B51" s="1365" t="s">
        <v>171</v>
      </c>
      <c r="C51" s="1365" t="s">
        <v>172</v>
      </c>
      <c r="D51" s="1365" t="s">
        <v>173</v>
      </c>
      <c r="E51" s="2261"/>
      <c r="F51" s="2261"/>
      <c r="G51" s="2261"/>
      <c r="H51" s="2261"/>
      <c r="I51" s="2288"/>
      <c r="J51" s="2258"/>
      <c r="K51" s="1365"/>
      <c r="L51" s="1366"/>
      <c r="P51" s="2259"/>
      <c r="Q51" s="2259"/>
      <c r="R51" s="358"/>
      <c r="S51" s="1280"/>
      <c r="T51" s="289"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170</v>
      </c>
      <c r="B52" s="1365" t="s">
        <v>171</v>
      </c>
      <c r="C52" s="1365" t="s">
        <v>172</v>
      </c>
      <c r="D52" s="1365" t="s">
        <v>173</v>
      </c>
      <c r="E52" s="2261"/>
      <c r="F52" s="2261"/>
      <c r="G52" s="2261"/>
      <c r="H52" s="2261"/>
      <c r="I52" s="2258"/>
      <c r="J52" s="1365"/>
      <c r="K52" s="1365"/>
      <c r="L52" s="1366"/>
      <c r="P52" s="2259"/>
      <c r="Q52" s="1333"/>
      <c r="R52" s="358"/>
      <c r="S52" s="1280"/>
      <c r="T52" s="367"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170</v>
      </c>
      <c r="B53" s="1365" t="s">
        <v>171</v>
      </c>
      <c r="C53" s="1365" t="s">
        <v>172</v>
      </c>
      <c r="D53" s="1365" t="s">
        <v>173</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170</v>
      </c>
      <c r="B54" s="1345" t="s">
        <v>171</v>
      </c>
      <c r="C54" s="1345" t="s">
        <v>172</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170</v>
      </c>
      <c r="B55" s="1345" t="s">
        <v>171</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170</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19.9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19</v>
      </c>
    </row>
    <row customHeight="1" ht="29.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28</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F1684A-507D-8973-D0EB-6BBC0171A86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1" s="1873"/>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2010">
        <f>INDEX(PT_DIFFERENTIATION_NUM_CS,MATCH(C4,PT_DIFFERENTIATION_CS_ID,0))</f>
      </c>
      <c r="T4" s="2014" t="s">
        <v>399</v>
      </c>
      <c r="U4" s="2015"/>
      <c r="V4" s="2302"/>
      <c r="W4" s="2303"/>
      <c r="X4" s="2303"/>
      <c r="Y4" s="2303"/>
      <c r="Z4" s="2303"/>
      <c r="AA4" s="2303"/>
      <c r="AB4" s="2303"/>
      <c r="AC4" s="2304"/>
      <c r="AD4" s="2302">
        <f>INDEX(PT_DIFFERENTIATION_CS,MATCH(C4,PT_DIFFERENTIATION_CS_ID,0))</f>
      </c>
      <c r="AE4" s="2303"/>
      <c r="AF4" s="2303"/>
      <c r="AG4" s="2303"/>
      <c r="AH4" s="2303"/>
      <c r="AI4" s="2303"/>
      <c r="AJ4" s="2303"/>
      <c r="AK4" s="2303"/>
      <c r="AL4" s="2304"/>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1637"/>
      <c r="S5" s="2009">
        <f>INDEX(PT_DIFFERENTIATION_NUM_IST_TE,MATCH(D5,PT_DIFFERENTIATION_IST_TE_ID,0))</f>
      </c>
      <c r="T5" s="312" t="s">
        <v>401</v>
      </c>
      <c r="U5" s="302"/>
      <c r="V5" s="2305"/>
      <c r="W5" s="2305"/>
      <c r="X5" s="2305"/>
      <c r="Y5" s="2305"/>
      <c r="Z5" s="2305"/>
      <c r="AA5" s="2305"/>
      <c r="AB5" s="2305"/>
      <c r="AC5" s="2305"/>
      <c r="AD5" s="2305">
        <f>INDEX(PT_DIFFERENTIATION_IST_TE,MATCH(D5,PT_DIFFERENTIATION_IST_TE_ID,0))</f>
      </c>
      <c r="AE5" s="2305"/>
      <c r="AF5" s="2305"/>
      <c r="AG5" s="2305"/>
      <c r="AH5" s="2305"/>
      <c r="AI5" s="2305"/>
      <c r="AJ5" s="2305"/>
      <c r="AK5" s="2305"/>
      <c r="AL5" s="2305"/>
      <c r="AM5" s="2012" t="s">
        <v>402</v>
      </c>
      <c r="AO5" s="502"/>
      <c r="AP5" s="502" t="str">
        <f>IF(T5="","",T5)</f>
        <v>Источник тепловой энергии  </v>
      </c>
      <c r="AQ5" s="502"/>
      <c r="AR5" s="502"/>
      <c r="AS5" s="1157">
        <v>0</v>
      </c>
    </row>
    <row customHeight="1" ht="0.75" hidden="1">
      <c r="A6" s="1365"/>
      <c r="B6" s="1365"/>
      <c r="C6" s="1365"/>
      <c r="D6" s="1365"/>
      <c r="E6" s="2261"/>
      <c r="F6" s="2261"/>
      <c r="G6" s="2261"/>
      <c r="H6" s="2261"/>
      <c r="I6" s="2258">
        <f>S5&amp;".1"</f>
      </c>
      <c r="J6" s="1365"/>
      <c r="K6" s="1365"/>
      <c r="L6" s="1366" t="s">
        <v>403</v>
      </c>
      <c r="M6" s="539"/>
      <c r="P6" s="2259">
        <v>1</v>
      </c>
      <c r="Q6" s="1333"/>
      <c r="R6" s="2008"/>
      <c r="S6" s="1044"/>
      <c r="T6" s="1385"/>
      <c r="U6" s="1386"/>
      <c r="V6" s="2306"/>
      <c r="W6" s="2306"/>
      <c r="X6" s="2306"/>
      <c r="Y6" s="2306"/>
      <c r="Z6" s="2306"/>
      <c r="AA6" s="2306"/>
      <c r="AB6" s="2306"/>
      <c r="AC6" s="2306"/>
      <c r="AD6" s="2306"/>
      <c r="AE6" s="2306"/>
      <c r="AF6" s="2306"/>
      <c r="AG6" s="2306"/>
      <c r="AH6" s="2306"/>
      <c r="AI6" s="2306"/>
      <c r="AJ6" s="2306"/>
      <c r="AK6" s="2306"/>
      <c r="AL6" s="2306"/>
      <c r="AM6" s="2013"/>
      <c r="AO6" s="502"/>
      <c r="AP6" s="502" t="str">
        <f>IF(T6="","",T6)</f>
        <v/>
      </c>
      <c r="AQ6" s="502"/>
      <c r="AR6" s="502"/>
      <c r="AS6" s="1157">
        <v>0</v>
      </c>
    </row>
    <row customHeight="1" ht="84" hidden="1">
      <c r="A7" s="1365"/>
      <c r="B7" s="1365"/>
      <c r="C7" s="1365"/>
      <c r="D7" s="1365"/>
      <c r="E7" s="2261"/>
      <c r="F7" s="2261"/>
      <c r="G7" s="2261"/>
      <c r="H7" s="2261"/>
      <c r="I7" s="2288"/>
      <c r="J7" s="2258">
        <f>I6&amp;".1"</f>
      </c>
      <c r="K7" s="1365"/>
      <c r="L7" s="1366" t="s">
        <v>406</v>
      </c>
      <c r="M7" s="539"/>
      <c r="N7" s="1368"/>
      <c r="P7" s="2259"/>
      <c r="Q7" s="2259">
        <v>1</v>
      </c>
      <c r="R7" s="1644"/>
      <c r="S7" s="2009">
        <f>$J7</f>
      </c>
      <c r="T7" s="288" t="s">
        <v>407</v>
      </c>
      <c r="U7" s="302"/>
      <c r="V7" s="2307"/>
      <c r="W7" s="2307"/>
      <c r="X7" s="2307"/>
      <c r="Y7" s="2307"/>
      <c r="Z7" s="2307"/>
      <c r="AA7" s="2307"/>
      <c r="AB7" s="2307"/>
      <c r="AC7" s="2307"/>
      <c r="AD7" s="2307"/>
      <c r="AE7" s="2307"/>
      <c r="AF7" s="2307"/>
      <c r="AG7" s="2307"/>
      <c r="AH7" s="2307"/>
      <c r="AI7" s="2307"/>
      <c r="AJ7" s="2307"/>
      <c r="AK7" s="2307"/>
      <c r="AL7" s="2307"/>
      <c r="AM7" s="2012" t="s">
        <v>408</v>
      </c>
      <c r="AO7" s="502"/>
      <c r="AP7" s="502" t="str">
        <f>IF(T7="","",T7)</f>
        <v>Группа потребителей</v>
      </c>
      <c r="AQ7" s="502"/>
      <c r="AR7" s="502"/>
      <c r="AS7" s="1157">
        <v>0</v>
      </c>
    </row>
    <row customHeight="1" ht="11.25" hidden="1">
      <c r="A8" s="1365"/>
      <c r="B8" s="1365"/>
      <c r="C8" s="1365"/>
      <c r="D8" s="1365"/>
      <c r="E8" s="2261"/>
      <c r="F8" s="2261"/>
      <c r="G8" s="2261"/>
      <c r="H8" s="2261"/>
      <c r="I8" s="2288"/>
      <c r="J8" s="2288"/>
      <c r="K8" s="2258">
        <f>J7&amp;".1"</f>
      </c>
      <c r="L8" s="1366" t="s">
        <v>409</v>
      </c>
      <c r="M8" s="539"/>
      <c r="N8" s="1368"/>
      <c r="O8" s="1368"/>
      <c r="P8" s="2259"/>
      <c r="Q8" s="2259"/>
      <c r="R8" s="359">
        <v>1</v>
      </c>
      <c r="S8" s="2011">
        <f>$K8</f>
      </c>
      <c r="T8" s="2016"/>
      <c r="U8" s="2017"/>
      <c r="V8" s="2018"/>
      <c r="W8" s="1351"/>
      <c r="X8" s="2018"/>
      <c r="Y8" s="2019"/>
      <c r="Z8" s="2308"/>
      <c r="AA8" s="2114" t="s">
        <v>66</v>
      </c>
      <c r="AB8" s="2308"/>
      <c r="AC8" s="2114" t="s">
        <v>66</v>
      </c>
      <c r="AD8" s="2018"/>
      <c r="AE8" s="1351"/>
      <c r="AF8" s="2018"/>
      <c r="AG8" s="2019"/>
      <c r="AH8" s="2308"/>
      <c r="AI8" s="2114" t="s">
        <v>66</v>
      </c>
      <c r="AJ8" s="2308"/>
      <c r="AK8" s="2114" t="s">
        <v>66</v>
      </c>
      <c r="AL8" s="1351"/>
      <c r="AM8" s="2255" t="s">
        <v>410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1.25" hidden="1">
      <c r="A10" s="1365"/>
      <c r="B10" s="1365"/>
      <c r="C10" s="1365"/>
      <c r="D10" s="1365"/>
      <c r="E10" s="2261"/>
      <c r="F10" s="2261"/>
      <c r="G10" s="2261"/>
      <c r="H10" s="2261"/>
      <c r="I10" s="2288"/>
      <c r="J10" s="2258"/>
      <c r="K10" s="1365"/>
      <c r="L10" s="1366"/>
      <c r="M10" s="539"/>
      <c r="N10" s="1368"/>
      <c r="P10" s="2259"/>
      <c r="Q10" s="2259"/>
      <c r="R10" s="358"/>
      <c r="S10" s="1280"/>
      <c r="T10" s="289"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0.7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4.75">
      <c r="Q26" s="378"/>
      <c r="R26" s="378"/>
      <c r="S26" s="230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9"/>
      <c r="U26" s="2309"/>
      <c r="V26" s="2309"/>
      <c r="W26" s="2309"/>
      <c r="X26" s="2309"/>
      <c r="Y26" s="2309"/>
      <c r="Z26" s="2309"/>
      <c r="AA26" s="2309"/>
      <c r="AB26" s="2309"/>
      <c r="AC26" s="2309"/>
      <c r="AD26" s="2309"/>
      <c r="AE26" s="2309"/>
      <c r="AF26" s="2309"/>
      <c r="AG26" s="2309"/>
      <c r="AH26" s="2309"/>
      <c r="AI26" s="2309"/>
      <c r="AJ26" s="2309"/>
      <c r="AK26" s="1245"/>
      <c r="AS26" s="1157">
        <v>52</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5.699999999999996">
      <c r="Q40" s="378"/>
      <c r="R40" s="378"/>
      <c r="S40" s="2275"/>
      <c r="T40" s="2211"/>
      <c r="U40" s="1033"/>
      <c r="V40" s="2262" t="s">
        <v>433</v>
      </c>
      <c r="W40" s="2285"/>
      <c r="X40" s="2264" t="s">
        <v>435</v>
      </c>
      <c r="Y40" s="2265"/>
      <c r="Z40" s="2264" t="s">
        <v>436</v>
      </c>
      <c r="AA40" s="2271"/>
      <c r="AB40" s="2265"/>
      <c r="AC40" s="2280"/>
      <c r="AD40" s="2262" t="s">
        <v>450</v>
      </c>
      <c r="AE40" s="2285"/>
      <c r="AF40" s="2264" t="s">
        <v>435</v>
      </c>
      <c r="AG40" s="2265"/>
      <c r="AH40" s="2264" t="s">
        <v>436</v>
      </c>
      <c r="AI40" s="2271"/>
      <c r="AJ40" s="2265"/>
      <c r="AK40" s="2280"/>
      <c r="AL40" s="2283"/>
      <c r="AM40" s="2129"/>
      <c r="AS40" s="1157">
        <v>34</v>
      </c>
    </row>
    <row customHeight="1" ht="35.699999999999996">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340" t="s">
        <v>446</v>
      </c>
      <c r="AA41" s="2272" t="s">
        <v>447</v>
      </c>
      <c r="AB41" s="2273"/>
      <c r="AC41" s="2281"/>
      <c r="AD41" s="2263"/>
      <c r="AE41" s="2286"/>
      <c r="AF41" s="1224" t="s">
        <v>444</v>
      </c>
      <c r="AG41" s="1224" t="s">
        <v>445</v>
      </c>
      <c r="AH41" s="1340"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182</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182</v>
      </c>
      <c r="B44" s="1365" t="s">
        <v>183</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21</v>
      </c>
    </row>
    <row customHeight="1" ht="24">
      <c r="A45" s="1365" t="s">
        <v>182</v>
      </c>
      <c r="B45" s="1365" t="s">
        <v>183</v>
      </c>
      <c r="C45" s="1365" t="s">
        <v>184</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2.049999999999997">
      <c r="A46" s="1365" t="s">
        <v>182</v>
      </c>
      <c r="B46" s="1365" t="s">
        <v>183</v>
      </c>
      <c r="C46" s="1365" t="s">
        <v>184</v>
      </c>
      <c r="D46" s="1365" t="s">
        <v>185</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21</v>
      </c>
    </row>
    <row s="1644" customFormat="1" customHeight="1" ht="0">
      <c r="A47" s="1345" t="s">
        <v>182</v>
      </c>
      <c r="B47" s="1345" t="s">
        <v>183</v>
      </c>
      <c r="C47" s="1345" t="s">
        <v>184</v>
      </c>
      <c r="D47" s="1345" t="s">
        <v>185</v>
      </c>
      <c r="E47" s="2261"/>
      <c r="F47" s="2261"/>
      <c r="G47" s="2261"/>
      <c r="H47" s="2261"/>
      <c r="I47" s="2258" t="str">
        <f>S46&amp;".1"</f>
        <v>....1</v>
      </c>
      <c r="J47" s="1345"/>
      <c r="K47" s="1345"/>
      <c r="L47" s="1348" t="s">
        <v>403</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182</v>
      </c>
      <c r="B48" s="1365" t="s">
        <v>183</v>
      </c>
      <c r="C48" s="1365" t="s">
        <v>184</v>
      </c>
      <c r="D48" s="1365" t="s">
        <v>185</v>
      </c>
      <c r="E48" s="2261"/>
      <c r="F48" s="2261"/>
      <c r="G48" s="2261"/>
      <c r="H48" s="2261"/>
      <c r="I48" s="2288"/>
      <c r="J48" s="2258" t="str">
        <f>S46&amp;".1"</f>
        <v>....1</v>
      </c>
      <c r="K48" s="1365"/>
      <c r="L48" s="1366" t="s">
        <v>406</v>
      </c>
      <c r="P48" s="2259"/>
      <c r="Q48" s="2259">
        <v>1</v>
      </c>
      <c r="R48" s="359"/>
      <c r="S48" s="1338" t="str">
        <f>$J48</f>
        <v>....1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21</v>
      </c>
    </row>
    <row customHeight="1" ht="22.049999999999997">
      <c r="A49" s="1365" t="s">
        <v>182</v>
      </c>
      <c r="B49" s="1365" t="s">
        <v>183</v>
      </c>
      <c r="C49" s="1365" t="s">
        <v>184</v>
      </c>
      <c r="D49" s="1365" t="s">
        <v>185</v>
      </c>
      <c r="E49" s="2261"/>
      <c r="F49" s="2261"/>
      <c r="G49" s="2261"/>
      <c r="H49" s="2261"/>
      <c r="I49" s="2288"/>
      <c r="J49" s="2288"/>
      <c r="K49" s="2258" t="str">
        <f>J48&amp;".1"</f>
        <v>....1.1</v>
      </c>
      <c r="L49" s="1366" t="s">
        <v>409</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451</v>
      </c>
      <c r="AN49" s="513">
        <f>STRCHECKDATE(V50:AL50)</f>
      </c>
      <c r="AO49" s="502"/>
      <c r="AP49" s="502" t="str">
        <f>IF(T49="","",T49)</f>
        <v/>
      </c>
      <c r="AQ49" s="502"/>
      <c r="AR49" s="502"/>
      <c r="AS49" s="1157">
        <v>21</v>
      </c>
    </row>
    <row customHeight="1" ht="1.05">
      <c r="A50" s="1365" t="s">
        <v>182</v>
      </c>
      <c r="B50" s="1365" t="s">
        <v>183</v>
      </c>
      <c r="C50" s="1365" t="s">
        <v>184</v>
      </c>
      <c r="D50" s="1365" t="s">
        <v>185</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182</v>
      </c>
      <c r="B51" s="1365" t="s">
        <v>183</v>
      </c>
      <c r="C51" s="1365" t="s">
        <v>184</v>
      </c>
      <c r="D51" s="1365" t="s">
        <v>185</v>
      </c>
      <c r="E51" s="2261"/>
      <c r="F51" s="2261"/>
      <c r="G51" s="2261"/>
      <c r="H51" s="2261"/>
      <c r="I51" s="2288"/>
      <c r="J51" s="2258"/>
      <c r="K51" s="1365"/>
      <c r="L51" s="1366"/>
      <c r="P51" s="2259"/>
      <c r="Q51" s="2259"/>
      <c r="R51" s="358"/>
      <c r="S51" s="1280"/>
      <c r="T51" s="289"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182</v>
      </c>
      <c r="B52" s="1365" t="s">
        <v>183</v>
      </c>
      <c r="C52" s="1365" t="s">
        <v>184</v>
      </c>
      <c r="D52" s="1365" t="s">
        <v>185</v>
      </c>
      <c r="E52" s="2261"/>
      <c r="F52" s="2261"/>
      <c r="G52" s="2261"/>
      <c r="H52" s="2261"/>
      <c r="I52" s="2258"/>
      <c r="J52" s="1365"/>
      <c r="K52" s="1365"/>
      <c r="L52" s="1366"/>
      <c r="P52" s="2259"/>
      <c r="Q52" s="1333"/>
      <c r="R52" s="358"/>
      <c r="S52" s="1280"/>
      <c r="T52" s="367"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182</v>
      </c>
      <c r="B53" s="1365" t="s">
        <v>183</v>
      </c>
      <c r="C53" s="1365" t="s">
        <v>184</v>
      </c>
      <c r="D53" s="1365" t="s">
        <v>185</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182</v>
      </c>
      <c r="B54" s="1345" t="s">
        <v>183</v>
      </c>
      <c r="C54" s="1345" t="s">
        <v>184</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182</v>
      </c>
      <c r="B55" s="1345" t="s">
        <v>183</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182</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3.2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22</v>
      </c>
    </row>
    <row customHeight="1" ht="30.4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29</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F006A7-D03A-7F9E-1CA1-8525DD954FAD}"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403</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406</v>
      </c>
      <c r="M7" s="539"/>
      <c r="N7" s="1368"/>
      <c r="P7" s="2259"/>
      <c r="Q7" s="2259">
        <v>1</v>
      </c>
      <c r="R7" s="359"/>
      <c r="S7" s="1338">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409</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513">
        <f>STRCHECKDATE(V9:AL9)</f>
      </c>
      <c r="AO8" s="502"/>
      <c r="AP8" s="502" t="str">
        <f>IF(T8="","",T8)</f>
        <v/>
      </c>
      <c r="AQ8" s="502"/>
      <c r="AR8" s="502"/>
      <c r="AS8" s="1157">
        <v>0</v>
      </c>
    </row>
    <row customHeight="1" ht="14.2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14.2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14.2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14.2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3.54999999999999">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51</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25.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5.699999999999996">
      <c r="Q40" s="378"/>
      <c r="R40" s="378"/>
      <c r="S40" s="2275"/>
      <c r="T40" s="2211"/>
      <c r="U40" s="1033"/>
      <c r="V40" s="2262" t="s">
        <v>433</v>
      </c>
      <c r="W40" s="2285"/>
      <c r="X40" s="2264" t="s">
        <v>435</v>
      </c>
      <c r="Y40" s="2265"/>
      <c r="Z40" s="2264" t="s">
        <v>436</v>
      </c>
      <c r="AA40" s="2271"/>
      <c r="AB40" s="2265"/>
      <c r="AC40" s="2280"/>
      <c r="AD40" s="2262" t="s">
        <v>450</v>
      </c>
      <c r="AE40" s="2285"/>
      <c r="AF40" s="2264" t="s">
        <v>435</v>
      </c>
      <c r="AG40" s="2265"/>
      <c r="AH40" s="2264" t="s">
        <v>436</v>
      </c>
      <c r="AI40" s="2271"/>
      <c r="AJ40" s="2265"/>
      <c r="AK40" s="2280"/>
      <c r="AL40" s="2283"/>
      <c r="AM40" s="2129"/>
      <c r="AS40" s="1157">
        <v>34</v>
      </c>
    </row>
    <row customHeight="1" ht="35.699999999999996">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340" t="s">
        <v>446</v>
      </c>
      <c r="AA41" s="2272" t="s">
        <v>447</v>
      </c>
      <c r="AB41" s="2273"/>
      <c r="AC41" s="2281"/>
      <c r="AD41" s="2263"/>
      <c r="AE41" s="2286"/>
      <c r="AF41" s="1224" t="s">
        <v>444</v>
      </c>
      <c r="AG41" s="1224" t="s">
        <v>445</v>
      </c>
      <c r="AH41" s="1340"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188</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188</v>
      </c>
      <c r="B44" s="1365" t="s">
        <v>189</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21</v>
      </c>
    </row>
    <row customHeight="1" ht="24">
      <c r="A45" s="1365" t="s">
        <v>188</v>
      </c>
      <c r="B45" s="1365" t="s">
        <v>189</v>
      </c>
      <c r="C45" s="1365" t="s">
        <v>190</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2.049999999999997">
      <c r="A46" s="1365" t="s">
        <v>188</v>
      </c>
      <c r="B46" s="1365" t="s">
        <v>189</v>
      </c>
      <c r="C46" s="1365" t="s">
        <v>190</v>
      </c>
      <c r="D46" s="1365" t="s">
        <v>191</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21</v>
      </c>
    </row>
    <row s="1644" customFormat="1" customHeight="1" ht="0">
      <c r="A47" s="1345" t="s">
        <v>188</v>
      </c>
      <c r="B47" s="1345" t="s">
        <v>189</v>
      </c>
      <c r="C47" s="1345" t="s">
        <v>190</v>
      </c>
      <c r="D47" s="1345" t="s">
        <v>191</v>
      </c>
      <c r="E47" s="2261"/>
      <c r="F47" s="2261"/>
      <c r="G47" s="2261"/>
      <c r="H47" s="2261"/>
      <c r="I47" s="2258" t="str">
        <f>S46&amp;".1"</f>
        <v>....1</v>
      </c>
      <c r="J47" s="1345"/>
      <c r="K47" s="1345"/>
      <c r="L47" s="1348" t="s">
        <v>403</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188</v>
      </c>
      <c r="B48" s="1365" t="s">
        <v>189</v>
      </c>
      <c r="C48" s="1365" t="s">
        <v>190</v>
      </c>
      <c r="D48" s="1365" t="s">
        <v>191</v>
      </c>
      <c r="E48" s="2261"/>
      <c r="F48" s="2261"/>
      <c r="G48" s="2261"/>
      <c r="H48" s="2261"/>
      <c r="I48" s="2288"/>
      <c r="J48" s="2258" t="str">
        <f>S46&amp;".1"</f>
        <v>....1</v>
      </c>
      <c r="K48" s="1365"/>
      <c r="L48" s="1366" t="s">
        <v>406</v>
      </c>
      <c r="P48" s="2259"/>
      <c r="Q48" s="2259">
        <v>1</v>
      </c>
      <c r="R48" s="359"/>
      <c r="S48" s="1338" t="str">
        <f>$J48</f>
        <v>....1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21</v>
      </c>
    </row>
    <row customHeight="1" ht="22.049999999999997">
      <c r="A49" s="1365" t="s">
        <v>188</v>
      </c>
      <c r="B49" s="1365" t="s">
        <v>189</v>
      </c>
      <c r="C49" s="1365" t="s">
        <v>190</v>
      </c>
      <c r="D49" s="1365" t="s">
        <v>191</v>
      </c>
      <c r="E49" s="2261"/>
      <c r="F49" s="2261"/>
      <c r="G49" s="2261"/>
      <c r="H49" s="2261"/>
      <c r="I49" s="2288"/>
      <c r="J49" s="2288"/>
      <c r="K49" s="2258" t="str">
        <f>J48&amp;".1"</f>
        <v>....1.1</v>
      </c>
      <c r="L49" s="1366" t="s">
        <v>409</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451</v>
      </c>
      <c r="AN49" s="513">
        <f>STRCHECKDATE(V50:AL50)</f>
      </c>
      <c r="AO49" s="502"/>
      <c r="AP49" s="502" t="str">
        <f>IF(T49="","",T49)</f>
        <v/>
      </c>
      <c r="AQ49" s="502"/>
      <c r="AR49" s="502"/>
      <c r="AS49" s="1157">
        <v>21</v>
      </c>
    </row>
    <row customHeight="1" ht="0">
      <c r="A50" s="1365" t="s">
        <v>188</v>
      </c>
      <c r="B50" s="1365" t="s">
        <v>189</v>
      </c>
      <c r="C50" s="1365" t="s">
        <v>190</v>
      </c>
      <c r="D50" s="1365" t="s">
        <v>191</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0</v>
      </c>
    </row>
    <row customHeight="1" ht="11.549999999999999">
      <c r="A51" s="1365" t="s">
        <v>188</v>
      </c>
      <c r="B51" s="1365" t="s">
        <v>189</v>
      </c>
      <c r="C51" s="1365" t="s">
        <v>190</v>
      </c>
      <c r="D51" s="1365" t="s">
        <v>191</v>
      </c>
      <c r="E51" s="2261"/>
      <c r="F51" s="2261"/>
      <c r="G51" s="2261"/>
      <c r="H51" s="2261"/>
      <c r="I51" s="2288"/>
      <c r="J51" s="2258"/>
      <c r="K51" s="1365"/>
      <c r="L51" s="1366"/>
      <c r="P51" s="2259"/>
      <c r="Q51" s="2259"/>
      <c r="R51" s="358"/>
      <c r="S51" s="1280"/>
      <c r="T51" s="289"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188</v>
      </c>
      <c r="B52" s="1365" t="s">
        <v>189</v>
      </c>
      <c r="C52" s="1365" t="s">
        <v>190</v>
      </c>
      <c r="D52" s="1365" t="s">
        <v>191</v>
      </c>
      <c r="E52" s="2261"/>
      <c r="F52" s="2261"/>
      <c r="G52" s="2261"/>
      <c r="H52" s="2261"/>
      <c r="I52" s="2258"/>
      <c r="J52" s="1365"/>
      <c r="K52" s="1365"/>
      <c r="L52" s="1366"/>
      <c r="P52" s="2259"/>
      <c r="Q52" s="1333"/>
      <c r="R52" s="358"/>
      <c r="S52" s="1280"/>
      <c r="T52" s="367"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188</v>
      </c>
      <c r="B53" s="1365" t="s">
        <v>189</v>
      </c>
      <c r="C53" s="1365" t="s">
        <v>190</v>
      </c>
      <c r="D53" s="1365" t="s">
        <v>191</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
      <c r="A54" s="1345" t="s">
        <v>188</v>
      </c>
      <c r="B54" s="1345" t="s">
        <v>189</v>
      </c>
      <c r="C54" s="1345" t="s">
        <v>190</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0</v>
      </c>
    </row>
    <row s="1644" customFormat="1" customHeight="1" ht="0">
      <c r="A55" s="1345" t="s">
        <v>188</v>
      </c>
      <c r="B55" s="1345" t="s">
        <v>189</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0</v>
      </c>
    </row>
    <row s="1644" customFormat="1" customHeight="1" ht="0">
      <c r="A56" s="1345" t="s">
        <v>188</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0</v>
      </c>
    </row>
    <row s="1644" customFormat="1" customHeight="1" ht="4.2">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4</v>
      </c>
    </row>
    <row customHeight="1" ht="11.549999999999999">
      <c r="M58" s="1162"/>
      <c r="N58" s="1162"/>
      <c r="O58" s="539"/>
      <c r="P58" s="1157"/>
      <c r="Q58" s="1157"/>
      <c r="R58" s="1157"/>
      <c r="S58" s="1157"/>
      <c r="AN58" s="1157"/>
      <c r="AO58" s="1157"/>
      <c r="AP58" s="1157"/>
      <c r="AQ58" s="1157"/>
      <c r="AR58" s="1157"/>
      <c r="AS58" s="1157">
        <v>11</v>
      </c>
    </row>
    <row customHeight="1" ht="14.699999999999998">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14</v>
      </c>
    </row>
    <row customHeight="1" ht="14.699999999999998">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14</v>
      </c>
    </row>
    <row customHeight="1" ht="14.699999999999998">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14</v>
      </c>
    </row>
    <row customHeight="1" ht="14.699999999999998">
      <c r="O62" s="539"/>
      <c r="AS62" s="1157">
        <v>14</v>
      </c>
    </row>
    <row customHeight="1" ht="14.699999999999998">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14</v>
      </c>
    </row>
    <row customHeight="1" ht="14.699999999999998">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14</v>
      </c>
    </row>
    <row customHeight="1" ht="14.699999999999998">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14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B9434B-7188-33B3-E55F-B5BF7B2CAFBA}"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2" style="1637" width="11.421875" hidden="1" customWidth="1"/>
    <col min="13" max="13" style="2127" width="19.140625" hidden="1" customWidth="1"/>
    <col min="14" max="15" style="2399" width="12.28125" hidden="1" customWidth="1"/>
    <col min="16" max="16" style="2399" width="23.421875" hidden="1" customWidth="1"/>
    <col min="17" max="17" style="2399" width="3.7109375" hidden="1" customWidth="1"/>
    <col min="18" max="20" style="346" width="3.00390625" customWidth="1"/>
    <col min="21" max="21" style="2409" width="12.00390625" customWidth="1"/>
    <col min="22" max="22" style="1637" width="31.00390625" customWidth="1"/>
    <col min="23" max="23" style="1637" width="0.140625" customWidth="1"/>
    <col min="24" max="28" style="1637" width="21.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21.7109375" customWidth="1"/>
    <col min="34" max="37" style="1637" width="21.00390625" customWidth="1"/>
    <col min="38" max="38" style="1637" width="11.00390625" customWidth="1"/>
    <col min="39" max="39" style="1637" width="3.7109375" customWidth="1"/>
    <col min="40" max="40" style="1637" width="11.00390625" customWidth="1"/>
    <col min="41" max="41" style="1637" width="8.57421875" hidden="1" customWidth="1"/>
    <col min="42" max="42" style="1637" width="4.00390625" customWidth="1"/>
    <col min="43" max="43" style="1637" width="115.00390625" customWidth="1"/>
    <col min="44" max="48" style="1644" width="10.00390625" customWidth="1"/>
    <col min="49" max="49" style="1637" width="10.57421875" hidden="1"/>
  </cols>
  <sheetData>
    <row customHeight="1" ht="22.5" hidden="1">
      <c r="AB1" s="329"/>
      <c r="AC1" s="329"/>
      <c r="AK1" s="329"/>
      <c r="AL1" s="329"/>
      <c r="AW1" s="1157" t="s">
        <v>14</v>
      </c>
    </row>
    <row customHeight="1" ht="21" hidden="1">
      <c r="A2" s="1269"/>
      <c r="B2" s="1269"/>
      <c r="C2" s="1269"/>
      <c r="D2" s="1269"/>
      <c r="E2" s="2291">
        <v>1</v>
      </c>
      <c r="F2" s="1269"/>
      <c r="G2" s="1269"/>
      <c r="H2" s="1269"/>
      <c r="I2" s="1269"/>
      <c r="J2" s="1269"/>
      <c r="K2" s="1269"/>
      <c r="L2" s="1269"/>
      <c r="M2" s="1312"/>
      <c r="N2" s="690"/>
      <c r="O2" s="690"/>
      <c r="P2" s="690"/>
      <c r="Q2" s="363"/>
      <c r="R2" s="362"/>
      <c r="S2" s="362"/>
      <c r="T2" s="357"/>
      <c r="U2" s="1338">
        <f>INDEX(PT_DIFFERENTIATION_NUM_NTAR,MATCH(A2,PT_DIFFERENTIATION_NTAR_ID,0))</f>
      </c>
      <c r="V2" s="300" t="s">
        <v>125</v>
      </c>
      <c r="W2" s="302"/>
      <c r="X2" s="2244"/>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6"/>
      <c r="AQ2" s="1260" t="s">
        <v>396</v>
      </c>
      <c r="AS2" s="502"/>
      <c r="AT2" s="502" t="str">
        <f>IF(V2="","",V2)</f>
        <v>Наименование тарифа</v>
      </c>
      <c r="AU2" s="502"/>
      <c r="AV2" s="502"/>
      <c r="AW2" s="1157">
        <v>0</v>
      </c>
    </row>
    <row customHeight="1" ht="21" hidden="1">
      <c r="A3" s="1269"/>
      <c r="B3" s="1269"/>
      <c r="C3" s="1269"/>
      <c r="D3" s="1269"/>
      <c r="E3" s="2292"/>
      <c r="F3" s="2291">
        <v>1</v>
      </c>
      <c r="G3" s="1269"/>
      <c r="H3" s="1269"/>
      <c r="I3" s="1269"/>
      <c r="J3" s="1269"/>
      <c r="K3" s="1269"/>
      <c r="L3" s="1269"/>
      <c r="M3" s="1312"/>
      <c r="N3" s="690"/>
      <c r="O3" s="690"/>
      <c r="P3" s="690"/>
      <c r="Q3" s="1334"/>
      <c r="R3" s="354"/>
      <c r="S3" s="511"/>
      <c r="T3" s="355"/>
      <c r="U3" s="1338">
        <f>INDEX(PT_DIFFERENTIATION_NUM_TER,MATCH(B3,PT_DIFFERENTIATION_TER_ID,0))</f>
      </c>
      <c r="V3" s="310" t="s">
        <v>397</v>
      </c>
      <c r="W3" s="302"/>
      <c r="X3" s="2244"/>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6"/>
      <c r="AQ3" s="1260" t="s">
        <v>398</v>
      </c>
      <c r="AS3" s="502"/>
      <c r="AT3" s="502" t="str">
        <f>IF(V3="","",V3)</f>
        <v>Территория действия тарифа</v>
      </c>
      <c r="AU3" s="502"/>
      <c r="AV3" s="502"/>
      <c r="AW3" s="1157">
        <v>0</v>
      </c>
    </row>
    <row customHeight="1" ht="22.5" hidden="1">
      <c r="A4" s="1269"/>
      <c r="B4" s="1269"/>
      <c r="C4" s="1269"/>
      <c r="D4" s="1269"/>
      <c r="E4" s="2292"/>
      <c r="F4" s="2292"/>
      <c r="G4" s="2291">
        <v>1</v>
      </c>
      <c r="H4" s="1269"/>
      <c r="I4" s="1269"/>
      <c r="J4" s="1269"/>
      <c r="K4" s="1269"/>
      <c r="L4" s="1269"/>
      <c r="M4" s="1312"/>
      <c r="N4" s="690"/>
      <c r="O4" s="690"/>
      <c r="P4" s="690"/>
      <c r="Q4" s="356"/>
      <c r="R4" s="354"/>
      <c r="S4" s="511"/>
      <c r="T4" s="355"/>
      <c r="U4" s="1338">
        <f>INDEX(PT_DIFFERENTIATION_NUM_CS,MATCH(C4,PT_DIFFERENTIATION_CS_ID,0))</f>
      </c>
      <c r="V4" s="311" t="s">
        <v>399</v>
      </c>
      <c r="W4" s="302"/>
      <c r="X4" s="2244"/>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6"/>
      <c r="AQ4" s="1260" t="s">
        <v>400</v>
      </c>
      <c r="AS4" s="502"/>
      <c r="AT4" s="502" t="str">
        <f>IF(V4="","",V4)</f>
        <v>Наименование системы теплоснабжения </v>
      </c>
      <c r="AU4" s="502"/>
      <c r="AV4" s="502"/>
      <c r="AW4" s="1157">
        <v>0</v>
      </c>
    </row>
    <row customHeight="1" ht="21" hidden="1">
      <c r="A5" s="1269"/>
      <c r="B5" s="1269"/>
      <c r="C5" s="1269"/>
      <c r="D5" s="1269"/>
      <c r="E5" s="2292"/>
      <c r="F5" s="2292"/>
      <c r="G5" s="2292"/>
      <c r="H5" s="2291">
        <v>1</v>
      </c>
      <c r="I5" s="1269"/>
      <c r="J5" s="1269"/>
      <c r="K5" s="1269"/>
      <c r="L5" s="1269"/>
      <c r="M5" s="1312"/>
      <c r="N5" s="690"/>
      <c r="O5" s="690"/>
      <c r="P5" s="690"/>
      <c r="Q5" s="356"/>
      <c r="R5" s="354"/>
      <c r="S5" s="511"/>
      <c r="T5" s="355"/>
      <c r="U5" s="1338">
        <f>INDEX(PT_DIFFERENTIATION_NUM_IST_TE,MATCH(D5,PT_DIFFERENTIATION_IST_TE_ID,0))</f>
      </c>
      <c r="V5" s="312" t="s">
        <v>401</v>
      </c>
      <c r="W5" s="302"/>
      <c r="X5" s="2244"/>
      <c r="Y5" s="2245"/>
      <c r="Z5" s="2245"/>
      <c r="AA5" s="2245"/>
      <c r="AB5" s="2245"/>
      <c r="AC5" s="2245"/>
      <c r="AD5" s="2245"/>
      <c r="AE5" s="2245"/>
      <c r="AF5" s="2246"/>
      <c r="AG5" s="2244">
        <f>INDEX(PT_DIFFERENTIATION_IST_TE,MATCH(D5,PT_DIFFERENTIATION_IST_TE_ID,0))</f>
      </c>
      <c r="AH5" s="2245"/>
      <c r="AI5" s="2245"/>
      <c r="AJ5" s="2245"/>
      <c r="AK5" s="2245"/>
      <c r="AL5" s="2245"/>
      <c r="AM5" s="2245"/>
      <c r="AN5" s="2245"/>
      <c r="AO5" s="2245"/>
      <c r="AP5" s="2246"/>
      <c r="AQ5" s="1260" t="s">
        <v>402</v>
      </c>
      <c r="AS5" s="502"/>
      <c r="AT5" s="502" t="str">
        <f>IF(V5="","",V5)</f>
        <v>Источник тепловой энергии  </v>
      </c>
      <c r="AU5" s="502"/>
      <c r="AV5" s="502"/>
      <c r="AW5" s="1157">
        <v>0</v>
      </c>
    </row>
    <row customHeight="1" ht="14.25" hidden="1">
      <c r="A6" s="1269"/>
      <c r="B6" s="1269"/>
      <c r="C6" s="1269"/>
      <c r="D6" s="1269"/>
      <c r="E6" s="2292"/>
      <c r="F6" s="2292"/>
      <c r="G6" s="2292"/>
      <c r="H6" s="2292"/>
      <c r="I6" s="2129">
        <f>U5&amp;".1"</f>
      </c>
      <c r="J6" s="1269"/>
      <c r="K6" s="1269"/>
      <c r="L6" s="1269"/>
      <c r="M6" s="1312" t="s">
        <v>403</v>
      </c>
      <c r="N6" s="511"/>
      <c r="Q6" s="2259">
        <v>1</v>
      </c>
      <c r="R6" s="1333"/>
      <c r="S6" s="1333"/>
      <c r="T6" s="358"/>
      <c r="U6" s="1044"/>
      <c r="V6" s="1385"/>
      <c r="W6" s="1386"/>
      <c r="X6" s="2298"/>
      <c r="Y6" s="2299"/>
      <c r="Z6" s="2299"/>
      <c r="AA6" s="2299"/>
      <c r="AB6" s="2299"/>
      <c r="AC6" s="2299"/>
      <c r="AD6" s="2299"/>
      <c r="AE6" s="2299"/>
      <c r="AF6" s="2300"/>
      <c r="AG6" s="2298"/>
      <c r="AH6" s="2299"/>
      <c r="AI6" s="2299"/>
      <c r="AJ6" s="2299"/>
      <c r="AK6" s="2299"/>
      <c r="AL6" s="2299"/>
      <c r="AM6" s="2299"/>
      <c r="AN6" s="2299"/>
      <c r="AO6" s="2299"/>
      <c r="AP6" s="2300"/>
      <c r="AQ6" s="1387"/>
      <c r="AS6" s="502"/>
      <c r="AT6" s="502" t="str">
        <f>IF(V6="","",V6)</f>
        <v/>
      </c>
      <c r="AU6" s="502"/>
      <c r="AV6" s="502"/>
      <c r="AW6" s="1157">
        <v>0</v>
      </c>
    </row>
    <row customHeight="1" ht="21" hidden="1">
      <c r="A7" s="1269"/>
      <c r="B7" s="1269"/>
      <c r="C7" s="1269"/>
      <c r="D7" s="1269"/>
      <c r="E7" s="2292"/>
      <c r="F7" s="2292"/>
      <c r="G7" s="2292"/>
      <c r="H7" s="2292"/>
      <c r="I7" s="2103"/>
      <c r="J7" s="2129">
        <f>I6&amp;".1"</f>
      </c>
      <c r="K7" s="1269"/>
      <c r="L7" s="1269"/>
      <c r="M7" s="1312" t="s">
        <v>406</v>
      </c>
      <c r="N7" s="511"/>
      <c r="O7" s="329"/>
      <c r="Q7" s="2259"/>
      <c r="R7" s="2259">
        <v>1</v>
      </c>
      <c r="S7" s="520"/>
      <c r="T7" s="359"/>
      <c r="U7" s="1338">
        <f>$J7</f>
      </c>
      <c r="V7" s="288" t="s">
        <v>407</v>
      </c>
      <c r="W7" s="302"/>
      <c r="X7" s="2247"/>
      <c r="Y7" s="2248"/>
      <c r="Z7" s="2248"/>
      <c r="AA7" s="2248"/>
      <c r="AB7" s="2248"/>
      <c r="AC7" s="2237"/>
      <c r="AD7" s="2237"/>
      <c r="AE7" s="2237"/>
      <c r="AF7" s="2310"/>
      <c r="AG7" s="2247"/>
      <c r="AH7" s="2248"/>
      <c r="AI7" s="2248"/>
      <c r="AJ7" s="2248"/>
      <c r="AK7" s="2248"/>
      <c r="AL7" s="2248"/>
      <c r="AM7" s="2248"/>
      <c r="AN7" s="2248"/>
      <c r="AO7" s="2248"/>
      <c r="AP7" s="2249"/>
      <c r="AQ7" s="1260" t="s">
        <v>408</v>
      </c>
      <c r="AS7" s="502"/>
      <c r="AT7" s="502" t="str">
        <f>IF(V7="","",V7)</f>
        <v>Группа потребителей</v>
      </c>
      <c r="AU7" s="502"/>
      <c r="AV7" s="502"/>
      <c r="AW7" s="1157">
        <v>0</v>
      </c>
    </row>
    <row customHeight="1" ht="21" hidden="1">
      <c r="A8" s="1269"/>
      <c r="B8" s="1269"/>
      <c r="C8" s="1269"/>
      <c r="D8" s="1269"/>
      <c r="E8" s="2292"/>
      <c r="F8" s="2292"/>
      <c r="G8" s="2292"/>
      <c r="H8" s="2292"/>
      <c r="I8" s="2103"/>
      <c r="J8" s="2103"/>
      <c r="K8" s="2129">
        <f>J7&amp;".1"</f>
      </c>
      <c r="L8" s="141"/>
      <c r="M8" s="1312" t="s">
        <v>409</v>
      </c>
      <c r="N8" s="511"/>
      <c r="O8" s="329"/>
      <c r="P8" s="329"/>
      <c r="Q8" s="2259"/>
      <c r="R8" s="2259"/>
      <c r="S8" s="2259">
        <v>1</v>
      </c>
      <c r="T8" s="359"/>
      <c r="U8" s="1338">
        <f>$K8</f>
      </c>
      <c r="V8" s="1349"/>
      <c r="W8" s="302"/>
      <c r="X8" s="753"/>
      <c r="Y8" s="753"/>
      <c r="Z8" s="753"/>
      <c r="AA8" s="753"/>
      <c r="AB8" s="1407"/>
      <c r="AC8" s="2267"/>
      <c r="AD8" s="2109" t="s">
        <v>66</v>
      </c>
      <c r="AE8" s="2267"/>
      <c r="AF8" s="2109" t="s">
        <v>66</v>
      </c>
      <c r="AG8" s="1409"/>
      <c r="AH8" s="753"/>
      <c r="AI8" s="753"/>
      <c r="AJ8" s="753"/>
      <c r="AK8" s="1259"/>
      <c r="AL8" s="2267"/>
      <c r="AM8" s="2109" t="s">
        <v>66</v>
      </c>
      <c r="AN8" s="2267"/>
      <c r="AO8" s="2109" t="s">
        <v>66</v>
      </c>
      <c r="AP8" s="327"/>
      <c r="AQ8" s="1309" t="s">
        <v>452</v>
      </c>
      <c r="AR8" s="513">
        <f>STRCHECKDATE(X10:AP10)</f>
      </c>
      <c r="AS8" s="502"/>
      <c r="AT8" s="502" t="str">
        <f>IF(V8="","",V8)</f>
        <v/>
      </c>
      <c r="AU8" s="502"/>
      <c r="AV8" s="502"/>
      <c r="AW8" s="1157">
        <v>0</v>
      </c>
    </row>
    <row customHeight="1" ht="21" hidden="1">
      <c r="A9" s="1269"/>
      <c r="B9" s="1269"/>
      <c r="C9" s="1269"/>
      <c r="D9" s="1269"/>
      <c r="E9" s="2292"/>
      <c r="F9" s="2292"/>
      <c r="G9" s="2292"/>
      <c r="H9" s="2292"/>
      <c r="I9" s="2103"/>
      <c r="J9" s="2103"/>
      <c r="K9" s="2103"/>
      <c r="L9" s="2129">
        <f>K8&amp;".1"</f>
      </c>
      <c r="M9" s="1312"/>
      <c r="N9" s="511"/>
      <c r="O9" s="329"/>
      <c r="P9" s="329"/>
      <c r="Q9" s="2259"/>
      <c r="R9" s="2259"/>
      <c r="S9" s="2259"/>
      <c r="T9" s="359"/>
      <c r="U9" s="1338">
        <f>$L9</f>
      </c>
      <c r="V9" s="1393"/>
      <c r="W9" s="302"/>
      <c r="X9" s="327"/>
      <c r="Y9" s="753"/>
      <c r="Z9" s="753"/>
      <c r="AA9" s="753"/>
      <c r="AB9" s="1407"/>
      <c r="AC9" s="2311"/>
      <c r="AD9" s="2109"/>
      <c r="AE9" s="2311"/>
      <c r="AF9" s="2109"/>
      <c r="AG9" s="1409"/>
      <c r="AH9" s="753"/>
      <c r="AI9" s="753"/>
      <c r="AJ9" s="753"/>
      <c r="AK9" s="1259"/>
      <c r="AL9" s="2311"/>
      <c r="AM9" s="2109"/>
      <c r="AN9" s="2311"/>
      <c r="AO9" s="2109"/>
      <c r="AP9" s="327"/>
      <c r="AQ9" s="2255" t="s">
        <v>453</v>
      </c>
      <c r="AS9" s="502"/>
      <c r="AT9" s="502"/>
      <c r="AU9" s="502"/>
      <c r="AV9" s="502"/>
      <c r="AW9" s="1157">
        <v>0</v>
      </c>
    </row>
    <row customHeight="1" ht="14.25" hidden="1">
      <c r="A10" s="1269"/>
      <c r="B10" s="1269"/>
      <c r="C10" s="1269"/>
      <c r="D10" s="1269"/>
      <c r="E10" s="2292"/>
      <c r="F10" s="2292"/>
      <c r="G10" s="2292"/>
      <c r="H10" s="2292"/>
      <c r="I10" s="2103"/>
      <c r="J10" s="2103"/>
      <c r="K10" s="2103"/>
      <c r="L10" s="2129"/>
      <c r="M10" s="1312"/>
      <c r="N10" s="511"/>
      <c r="O10" s="329"/>
      <c r="P10" s="329"/>
      <c r="Q10" s="2259"/>
      <c r="R10" s="2259"/>
      <c r="S10" s="2259"/>
      <c r="T10" s="359"/>
      <c r="U10" s="1344"/>
      <c r="V10" s="302"/>
      <c r="W10" s="302"/>
      <c r="X10" s="327"/>
      <c r="Y10" s="327"/>
      <c r="Z10" s="327"/>
      <c r="AA10" s="327"/>
      <c r="AB10" s="1408" t="str">
        <f>AC8&amp;"-"&amp;AE8</f>
        <v>-</v>
      </c>
      <c r="AC10" s="2311"/>
      <c r="AD10" s="2109"/>
      <c r="AE10" s="2311"/>
      <c r="AF10" s="2109"/>
      <c r="AG10" s="1384"/>
      <c r="AH10" s="327"/>
      <c r="AI10" s="327"/>
      <c r="AJ10" s="327"/>
      <c r="AK10" s="330" t="str">
        <f>AL8&amp;"-"&amp;AN8</f>
        <v>-</v>
      </c>
      <c r="AL10" s="2311"/>
      <c r="AM10" s="2109"/>
      <c r="AN10" s="2311"/>
      <c r="AO10" s="2109"/>
      <c r="AP10" s="327"/>
      <c r="AQ10" s="2256"/>
      <c r="AS10" s="502"/>
      <c r="AT10" s="502" t="str">
        <f>IF(V10="","",V10)</f>
        <v/>
      </c>
      <c r="AU10" s="502"/>
      <c r="AV10" s="502"/>
      <c r="AW10" s="1157">
        <v>0</v>
      </c>
    </row>
    <row customHeight="1" ht="11.25" hidden="1">
      <c r="A11" s="1269"/>
      <c r="B11" s="1269"/>
      <c r="C11" s="1269"/>
      <c r="D11" s="1269"/>
      <c r="E11" s="2292"/>
      <c r="F11" s="2292"/>
      <c r="G11" s="2292"/>
      <c r="H11" s="2292"/>
      <c r="I11" s="2103"/>
      <c r="J11" s="2103"/>
      <c r="K11" s="2129"/>
      <c r="L11" s="1269"/>
      <c r="M11" s="1312"/>
      <c r="N11" s="511"/>
      <c r="O11" s="329"/>
      <c r="P11" s="329"/>
      <c r="Q11" s="2259"/>
      <c r="R11" s="2259"/>
      <c r="S11" s="2259"/>
      <c r="T11" s="359"/>
      <c r="U11" s="1280"/>
      <c r="V11" s="290" t="s">
        <v>454</v>
      </c>
      <c r="W11" s="1394"/>
      <c r="X11" s="1395"/>
      <c r="Y11" s="1395"/>
      <c r="Z11" s="1395"/>
      <c r="AA11" s="1395"/>
      <c r="AB11" s="1396"/>
      <c r="AC11" s="2311"/>
      <c r="AD11" s="2109"/>
      <c r="AE11" s="2311"/>
      <c r="AF11" s="2109"/>
      <c r="AG11" s="1395"/>
      <c r="AH11" s="1395"/>
      <c r="AI11" s="1395"/>
      <c r="AJ11" s="1395"/>
      <c r="AK11" s="1396"/>
      <c r="AL11" s="2311"/>
      <c r="AM11" s="2109"/>
      <c r="AN11" s="2311"/>
      <c r="AO11" s="2109"/>
      <c r="AP11" s="1397"/>
      <c r="AQ11" s="2256"/>
      <c r="AS11" s="502"/>
      <c r="AT11" s="502"/>
      <c r="AU11" s="502"/>
      <c r="AV11" s="502"/>
      <c r="AW11" s="1157">
        <v>0</v>
      </c>
    </row>
    <row customHeight="1" ht="15" hidden="1">
      <c r="A12" s="1269"/>
      <c r="B12" s="1269"/>
      <c r="C12" s="1269"/>
      <c r="D12" s="1269"/>
      <c r="E12" s="2292"/>
      <c r="F12" s="2292"/>
      <c r="G12" s="2292"/>
      <c r="H12" s="2292"/>
      <c r="I12" s="2103"/>
      <c r="J12" s="2129"/>
      <c r="K12" s="1269"/>
      <c r="L12" s="1269"/>
      <c r="M12" s="1312"/>
      <c r="N12" s="511"/>
      <c r="O12" s="329"/>
      <c r="Q12" s="2259"/>
      <c r="R12" s="2259"/>
      <c r="S12" s="1333"/>
      <c r="T12" s="358"/>
      <c r="U12" s="1280"/>
      <c r="V12" s="289" t="s">
        <v>411</v>
      </c>
      <c r="W12" s="369"/>
      <c r="X12" s="369"/>
      <c r="Y12" s="369"/>
      <c r="Z12" s="369"/>
      <c r="AA12" s="369"/>
      <c r="AB12" s="369"/>
      <c r="AC12" s="1410"/>
      <c r="AD12" s="1410"/>
      <c r="AE12" s="1410"/>
      <c r="AF12" s="1410"/>
      <c r="AG12" s="369"/>
      <c r="AH12" s="369"/>
      <c r="AI12" s="369"/>
      <c r="AJ12" s="369"/>
      <c r="AK12" s="369"/>
      <c r="AL12" s="369"/>
      <c r="AM12" s="369"/>
      <c r="AN12" s="369"/>
      <c r="AO12" s="369"/>
      <c r="AP12" s="326"/>
      <c r="AQ12" s="2257"/>
      <c r="AS12" s="502"/>
      <c r="AT12" s="502" t="str">
        <f>IF(V12="","",V12)</f>
        <v>Добавить вид теплоносителя (параметры теплоносителя)</v>
      </c>
      <c r="AU12" s="502"/>
      <c r="AV12" s="502"/>
      <c r="AW12" s="1157">
        <v>0</v>
      </c>
    </row>
    <row customHeight="1" ht="11.25" hidden="1">
      <c r="A13" s="1269"/>
      <c r="B13" s="1269"/>
      <c r="C13" s="1269"/>
      <c r="D13" s="1269"/>
      <c r="E13" s="2292"/>
      <c r="F13" s="2292"/>
      <c r="G13" s="2292"/>
      <c r="H13" s="2292"/>
      <c r="I13" s="2129"/>
      <c r="J13" s="1269"/>
      <c r="K13" s="1269"/>
      <c r="L13" s="1269"/>
      <c r="M13" s="1312"/>
      <c r="N13" s="511"/>
      <c r="Q13" s="2259"/>
      <c r="R13" s="1333"/>
      <c r="S13" s="1333"/>
      <c r="T13" s="358"/>
      <c r="U13" s="1280"/>
      <c r="V13" s="367" t="s">
        <v>412</v>
      </c>
      <c r="W13" s="369"/>
      <c r="X13" s="369"/>
      <c r="Y13" s="369"/>
      <c r="Z13" s="369"/>
      <c r="AA13" s="369"/>
      <c r="AB13" s="369"/>
      <c r="AC13" s="369"/>
      <c r="AD13" s="369"/>
      <c r="AE13" s="369"/>
      <c r="AF13" s="368"/>
      <c r="AG13" s="369"/>
      <c r="AH13" s="369"/>
      <c r="AI13" s="369"/>
      <c r="AJ13" s="369"/>
      <c r="AK13" s="369"/>
      <c r="AL13" s="369"/>
      <c r="AM13" s="369"/>
      <c r="AN13" s="369"/>
      <c r="AO13" s="368"/>
      <c r="AP13" s="369"/>
      <c r="AQ13" s="305"/>
      <c r="AS13" s="502"/>
      <c r="AT13" s="502" t="str">
        <f>IF(V13="","",V13)</f>
        <v>Добавить группу потребителей</v>
      </c>
      <c r="AU13" s="502"/>
      <c r="AV13" s="502"/>
      <c r="AW13" s="1157">
        <v>0</v>
      </c>
    </row>
    <row customHeight="1" ht="14.25" hidden="1">
      <c r="A14" s="1269"/>
      <c r="B14" s="1269"/>
      <c r="C14" s="1269"/>
      <c r="D14" s="1269"/>
      <c r="E14" s="2292"/>
      <c r="F14" s="2292"/>
      <c r="G14" s="2292"/>
      <c r="H14" s="2291"/>
      <c r="I14" s="1269"/>
      <c r="J14" s="1269"/>
      <c r="K14" s="1269"/>
      <c r="L14" s="1269"/>
      <c r="M14" s="1312"/>
      <c r="N14" s="690"/>
      <c r="O14" s="690"/>
      <c r="P14" s="511"/>
      <c r="Q14" s="362"/>
      <c r="R14" s="377"/>
      <c r="S14" s="357"/>
      <c r="T14" s="362"/>
      <c r="U14" s="1388"/>
      <c r="V14" s="1389"/>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1"/>
      <c r="AS14" s="502"/>
      <c r="AT14" s="502" t="str">
        <f>IF(V14="","",V14)</f>
        <v/>
      </c>
      <c r="AU14" s="502"/>
      <c r="AV14" s="502"/>
      <c r="AW14" s="1157">
        <v>0</v>
      </c>
    </row>
    <row s="1644" customFormat="1" customHeight="1" ht="14.25" hidden="1">
      <c r="A15" s="1376"/>
      <c r="B15" s="1376"/>
      <c r="C15" s="1376"/>
      <c r="D15" s="1376"/>
      <c r="E15" s="2292"/>
      <c r="F15" s="2292"/>
      <c r="G15" s="2291"/>
      <c r="H15" s="1376"/>
      <c r="I15" s="1376"/>
      <c r="J15" s="1376"/>
      <c r="K15" s="1376"/>
      <c r="L15" s="1376"/>
      <c r="M15" s="1379"/>
      <c r="N15" s="1380"/>
      <c r="O15" s="1380"/>
      <c r="P15" s="353"/>
      <c r="Q15" s="1318"/>
      <c r="R15" s="1319"/>
      <c r="S15" s="1318"/>
      <c r="T15" s="1318"/>
      <c r="U15" s="1320"/>
      <c r="V15" s="1321" t="s">
        <v>414</v>
      </c>
      <c r="W15" s="1322"/>
      <c r="X15" s="1322"/>
      <c r="Y15" s="1322"/>
      <c r="Z15" s="1322"/>
      <c r="AA15" s="1322"/>
      <c r="AB15" s="1322"/>
      <c r="AC15" s="1322"/>
      <c r="AD15" s="1322"/>
      <c r="AE15" s="1322"/>
      <c r="AF15" s="1322"/>
      <c r="AG15" s="1322"/>
      <c r="AH15" s="1322"/>
      <c r="AI15" s="1322"/>
      <c r="AJ15" s="1322"/>
      <c r="AK15" s="1322"/>
      <c r="AL15" s="1322"/>
      <c r="AM15" s="1322"/>
      <c r="AN15" s="1322"/>
      <c r="AO15" s="1322"/>
      <c r="AP15" s="1322"/>
      <c r="AQ15" s="1322"/>
      <c r="AS15" s="791"/>
      <c r="AT15" s="791" t="str">
        <f>IF(V15="","",V15)</f>
        <v>Добавить источник для дифференциации</v>
      </c>
      <c r="AU15" s="791"/>
      <c r="AV15" s="791"/>
      <c r="AW15" s="520">
        <v>0</v>
      </c>
    </row>
    <row s="1644" customFormat="1" customHeight="1" ht="14.25" hidden="1">
      <c r="A16" s="1376"/>
      <c r="B16" s="1376"/>
      <c r="C16" s="1376"/>
      <c r="D16" s="1376"/>
      <c r="E16" s="2292"/>
      <c r="F16" s="2291"/>
      <c r="G16" s="1376"/>
      <c r="H16" s="1376"/>
      <c r="I16" s="1376"/>
      <c r="J16" s="1376"/>
      <c r="K16" s="1376"/>
      <c r="L16" s="1376"/>
      <c r="M16" s="1379"/>
      <c r="N16" s="1381"/>
      <c r="O16" s="1381"/>
      <c r="P16" s="353"/>
      <c r="Q16" s="1318"/>
      <c r="R16" s="1319"/>
      <c r="S16" s="1318"/>
      <c r="T16" s="1318"/>
      <c r="U16" s="1324"/>
      <c r="V16" s="1325" t="s">
        <v>415</v>
      </c>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S16" s="791"/>
      <c r="AT16" s="791" t="str">
        <f>IF(V16="","",V16)</f>
        <v>Добавить централизованную систему для дифференциации</v>
      </c>
      <c r="AU16" s="791"/>
      <c r="AV16" s="791"/>
      <c r="AW16" s="520">
        <v>0</v>
      </c>
    </row>
    <row s="1644" customFormat="1" customHeight="1" ht="14.25" hidden="1">
      <c r="A17" s="1376"/>
      <c r="B17" s="1376"/>
      <c r="C17" s="1376"/>
      <c r="D17" s="1376"/>
      <c r="E17" s="2291"/>
      <c r="F17" s="1376"/>
      <c r="G17" s="1376"/>
      <c r="H17" s="1376"/>
      <c r="I17" s="1376"/>
      <c r="J17" s="1376"/>
      <c r="K17" s="1376"/>
      <c r="L17" s="1376"/>
      <c r="M17" s="1379"/>
      <c r="N17" s="1381"/>
      <c r="O17" s="1381"/>
      <c r="P17" s="353"/>
      <c r="Q17" s="1318"/>
      <c r="R17" s="1319"/>
      <c r="S17" s="1318"/>
      <c r="T17" s="1318"/>
      <c r="U17" s="1324"/>
      <c r="V17" s="1327" t="s">
        <v>416</v>
      </c>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S17" s="791"/>
      <c r="AT17" s="791" t="str">
        <f>IF(V17="","",V17)</f>
        <v>Добавить территорию для дифференциации</v>
      </c>
      <c r="AU17" s="791"/>
      <c r="AV17" s="791"/>
      <c r="AW17" s="520">
        <v>0</v>
      </c>
    </row>
    <row customHeight="1" ht="14.25" hidden="1">
      <c r="AF18" s="329"/>
      <c r="AO18" s="329"/>
      <c r="AW18" s="1157">
        <v>0</v>
      </c>
    </row>
    <row customHeight="1" ht="14.25" hidden="1">
      <c r="AG19" s="1362"/>
      <c r="AH19" s="1362"/>
      <c r="AI19" s="1362"/>
      <c r="AJ19" s="1362"/>
      <c r="AK19" s="1363"/>
      <c r="AL19" s="2269"/>
      <c r="AM19" s="2270" t="s">
        <v>66</v>
      </c>
      <c r="AN19" s="2269"/>
      <c r="AO19" s="2270" t="s">
        <v>66</v>
      </c>
      <c r="AW19" s="1157">
        <v>0</v>
      </c>
    </row>
    <row customHeight="1" ht="14.25" hidden="1">
      <c r="AG20" s="1362"/>
      <c r="AH20" s="1362"/>
      <c r="AI20" s="1362"/>
      <c r="AJ20" s="1362"/>
      <c r="AK20" s="1363"/>
      <c r="AL20" s="2269"/>
      <c r="AM20" s="2270"/>
      <c r="AN20" s="2269"/>
      <c r="AO20" s="2270"/>
      <c r="AW20" s="1157">
        <v>0</v>
      </c>
    </row>
    <row customHeight="1" ht="14.25" hidden="1">
      <c r="AG21" s="1362"/>
      <c r="AH21" s="1362"/>
      <c r="AI21" s="1362"/>
      <c r="AJ21" s="1362"/>
      <c r="AK21" s="1363"/>
      <c r="AL21" s="2269"/>
      <c r="AM21" s="2270"/>
      <c r="AN21" s="2269"/>
      <c r="AO21" s="2270"/>
      <c r="AW21" s="1157">
        <v>0</v>
      </c>
    </row>
    <row customHeight="1" ht="14.25" hidden="1">
      <c r="AG22" s="1362"/>
      <c r="AH22" s="1362"/>
      <c r="AI22" s="1362"/>
      <c r="AJ22" s="1362"/>
      <c r="AK22" s="330" t="str">
        <f>AL19&amp;"-"&amp;AN19</f>
        <v>-</v>
      </c>
      <c r="AL22" s="2270"/>
      <c r="AM22" s="2270"/>
      <c r="AN22" s="2270"/>
      <c r="AO22" s="2270"/>
      <c r="AW22" s="1157">
        <v>0</v>
      </c>
    </row>
    <row customHeight="1" ht="14.25" hidden="1">
      <c r="AO23" s="329"/>
      <c r="AW23" s="1157">
        <v>0</v>
      </c>
    </row>
    <row s="1368" customFormat="1" customHeight="1" ht="22.5" hidden="1">
      <c r="A24" s="1157"/>
      <c r="B24" s="1157"/>
      <c r="C24" s="1157"/>
      <c r="D24" s="1157"/>
      <c r="E24" s="1157"/>
      <c r="F24" s="1157"/>
      <c r="G24" s="1157"/>
      <c r="H24" s="1157"/>
      <c r="I24" s="1157"/>
      <c r="J24" s="1157"/>
      <c r="K24" s="1157"/>
      <c r="L24" s="1157"/>
      <c r="M24" s="1329"/>
      <c r="N24" s="1330"/>
      <c r="O24" s="1330"/>
      <c r="P24" s="1347" t="s">
        <v>417</v>
      </c>
      <c r="Q24" s="1364"/>
      <c r="R24" s="1373"/>
      <c r="S24" s="1373"/>
      <c r="T24" s="1373"/>
      <c r="U24" s="731"/>
      <c r="AC24" s="1369"/>
      <c r="AE24" s="1369"/>
      <c r="AF24" s="1368"/>
      <c r="AL24" s="1369"/>
      <c r="AN24" s="1369"/>
      <c r="AO24" s="1368"/>
      <c r="AR24" s="513"/>
      <c r="AS24" s="513"/>
      <c r="AT24" s="513"/>
      <c r="AU24" s="513"/>
      <c r="AV24" s="513"/>
      <c r="AW24" s="1162">
        <v>0</v>
      </c>
    </row>
    <row s="1368" customFormat="1" customHeight="1" ht="14.25" hidden="1">
      <c r="A25" s="1157"/>
      <c r="B25" s="1157"/>
      <c r="C25" s="1157"/>
      <c r="D25" s="1157"/>
      <c r="E25" s="1157"/>
      <c r="F25" s="1157"/>
      <c r="G25" s="1157"/>
      <c r="H25" s="1157"/>
      <c r="I25" s="1157"/>
      <c r="J25" s="1157"/>
      <c r="K25" s="1157"/>
      <c r="L25" s="1157"/>
      <c r="M25" s="1329"/>
      <c r="N25" s="1330"/>
      <c r="O25" s="1330"/>
      <c r="P25" s="1330"/>
      <c r="Q25" s="1364"/>
      <c r="R25" s="1373"/>
      <c r="S25" s="1373"/>
      <c r="T25" s="1373"/>
      <c r="U25" s="731"/>
      <c r="AF25" s="1368"/>
      <c r="AO25" s="1368"/>
      <c r="AR25" s="513"/>
      <c r="AS25" s="513"/>
      <c r="AT25" s="513"/>
      <c r="AU25" s="513"/>
      <c r="AV25" s="513"/>
      <c r="AW25" s="1162">
        <v>0</v>
      </c>
    </row>
    <row s="1368" customFormat="1" customHeight="1" ht="14.25" hidden="1">
      <c r="A26" s="1157"/>
      <c r="B26" s="1157"/>
      <c r="C26" s="1157"/>
      <c r="D26" s="1157"/>
      <c r="E26" s="1157"/>
      <c r="F26" s="1157"/>
      <c r="G26" s="1157"/>
      <c r="H26" s="1157"/>
      <c r="I26" s="1157"/>
      <c r="J26" s="1157"/>
      <c r="K26" s="1157"/>
      <c r="L26" s="1157"/>
      <c r="M26" s="1329"/>
      <c r="N26" s="1330"/>
      <c r="O26" s="1330"/>
      <c r="P26" s="1312" t="s">
        <v>418</v>
      </c>
      <c r="Q26" s="1364"/>
      <c r="R26" s="1373"/>
      <c r="S26" s="1373"/>
      <c r="T26" s="1373"/>
      <c r="U26" s="731"/>
      <c r="V26" s="1162" t="s">
        <v>419</v>
      </c>
      <c r="AD26" s="188" t="s">
        <v>420</v>
      </c>
      <c r="AF26" s="188" t="s">
        <v>421</v>
      </c>
      <c r="AG26" s="1162" t="s">
        <v>419</v>
      </c>
      <c r="AM26" s="188" t="s">
        <v>422</v>
      </c>
      <c r="AO26" s="188" t="s">
        <v>421</v>
      </c>
      <c r="AR26" s="513"/>
      <c r="AS26" s="513"/>
      <c r="AT26" s="513"/>
      <c r="AU26" s="513"/>
      <c r="AV26" s="513"/>
      <c r="AW26" s="1162">
        <v>0</v>
      </c>
    </row>
    <row customHeight="1" ht="14.25" hidden="1">
      <c r="P27" s="1312"/>
      <c r="AW27" s="1157">
        <v>0</v>
      </c>
    </row>
    <row customHeight="1" ht="14.25" hidden="1">
      <c r="P28" s="1312"/>
      <c r="AW28" s="1157">
        <v>0</v>
      </c>
    </row>
    <row customHeight="1" ht="14.699999999999998">
      <c r="R29" s="378"/>
      <c r="S29" s="378"/>
      <c r="T29" s="378"/>
      <c r="U29" s="1277"/>
      <c r="V29" s="365"/>
      <c r="W29" s="365"/>
      <c r="X29" s="511"/>
      <c r="Y29" s="511"/>
      <c r="Z29" s="511"/>
      <c r="AA29" s="511"/>
      <c r="AB29" s="511"/>
      <c r="AC29" s="511"/>
      <c r="AD29" s="511"/>
      <c r="AE29" s="511"/>
      <c r="AF29" s="511"/>
      <c r="AG29" s="511"/>
      <c r="AH29" s="511"/>
      <c r="AI29" s="511"/>
      <c r="AJ29" s="511"/>
      <c r="AK29" s="511"/>
      <c r="AL29" s="511"/>
      <c r="AM29" s="511"/>
      <c r="AN29" s="511"/>
      <c r="AO29" s="511"/>
      <c r="AW29" s="1157">
        <v>14</v>
      </c>
    </row>
    <row customHeight="1" ht="56.699999999999996">
      <c r="R30" s="378"/>
      <c r="S30" s="378"/>
      <c r="T30" s="378"/>
      <c r="U30" s="2250"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0"/>
      <c r="W30" s="2250"/>
      <c r="X30" s="2250"/>
      <c r="Y30" s="2250"/>
      <c r="Z30" s="2250"/>
      <c r="AA30" s="2250"/>
      <c r="AB30" s="2250"/>
      <c r="AC30" s="2250"/>
      <c r="AD30" s="2250"/>
      <c r="AE30" s="2250"/>
      <c r="AF30" s="2250"/>
      <c r="AG30" s="2250"/>
      <c r="AH30" s="2250"/>
      <c r="AI30" s="2250"/>
      <c r="AJ30" s="2250"/>
      <c r="AK30" s="2250"/>
      <c r="AL30" s="2250"/>
      <c r="AM30" s="2250"/>
      <c r="AN30" s="2250"/>
      <c r="AO30" s="1245"/>
      <c r="AW30" s="1157">
        <v>54</v>
      </c>
    </row>
    <row customHeight="1" ht="14.699999999999998">
      <c r="R31" s="378"/>
      <c r="S31" s="378"/>
      <c r="T31" s="378"/>
      <c r="U31" s="2251" t="str">
        <f>IF(org=0,"Не определено",org)</f>
        <v>ПАО "ТГК-2"</v>
      </c>
      <c r="V31" s="2251"/>
      <c r="W31" s="2251"/>
      <c r="X31" s="2251"/>
      <c r="Y31" s="2251"/>
      <c r="Z31" s="2251"/>
      <c r="AA31" s="2251"/>
      <c r="AB31" s="2251"/>
      <c r="AC31" s="2251"/>
      <c r="AD31" s="2251"/>
      <c r="AE31" s="2251"/>
      <c r="AF31" s="2251"/>
      <c r="AG31" s="2251"/>
      <c r="AH31" s="2251"/>
      <c r="AI31" s="2251"/>
      <c r="AJ31" s="2251"/>
      <c r="AK31" s="2251"/>
      <c r="AL31" s="2251"/>
      <c r="AM31" s="2251"/>
      <c r="AN31" s="2251"/>
      <c r="AO31" s="1245"/>
      <c r="AW31" s="1157">
        <v>14</v>
      </c>
    </row>
    <row customHeight="1" ht="14.25" hidden="1">
      <c r="R32" s="378"/>
      <c r="S32" s="378"/>
      <c r="T32" s="378"/>
      <c r="U32" s="1277"/>
      <c r="V32" s="365"/>
      <c r="W32" s="365"/>
      <c r="X32" s="324"/>
      <c r="Y32" s="324"/>
      <c r="Z32" s="324"/>
      <c r="AA32" s="324"/>
      <c r="AB32" s="324"/>
      <c r="AC32" s="324"/>
      <c r="AD32" s="324"/>
      <c r="AE32" s="324"/>
      <c r="AF32" s="324"/>
      <c r="AG32" s="324"/>
      <c r="AH32" s="324"/>
      <c r="AI32" s="324"/>
      <c r="AJ32" s="324"/>
      <c r="AK32" s="324"/>
      <c r="AL32" s="324"/>
      <c r="AM32" s="324"/>
      <c r="AN32" s="324"/>
      <c r="AO32" s="324"/>
      <c r="AP32" s="511"/>
      <c r="AW32" s="1157">
        <v>0</v>
      </c>
    </row>
    <row s="1855" customFormat="1" customHeight="1" ht="25.5" hidden="1">
      <c r="A33" s="1250"/>
      <c r="B33" s="1250"/>
      <c r="C33" s="1250"/>
      <c r="D33" s="1250"/>
      <c r="E33" s="1250"/>
      <c r="F33" s="1250"/>
      <c r="G33" s="1250"/>
      <c r="H33" s="1250"/>
      <c r="I33" s="1250"/>
      <c r="J33" s="1250"/>
      <c r="K33" s="1250"/>
      <c r="L33" s="1250"/>
      <c r="M33" s="1382"/>
      <c r="N33" s="1250"/>
      <c r="O33" s="1250"/>
      <c r="P33" s="1250"/>
      <c r="U33" s="2252" t="s">
        <v>42</v>
      </c>
      <c r="V33" s="2252"/>
      <c r="W33" s="1374"/>
      <c r="X33" s="2253" t="str">
        <f>IF(TITLE_NAME_OR_PR_CHANGE="",IF(TITLE_NAME_OR_PR="","",TITLE_NAME_OR_PR),TITLE_NAME_OR_PR_CHANGE)</f>
        <v/>
      </c>
      <c r="Y33" s="2253"/>
      <c r="Z33" s="2253"/>
      <c r="AA33" s="2253"/>
      <c r="AB33" s="2253"/>
      <c r="AC33" s="2253"/>
      <c r="AD33" s="2253"/>
      <c r="AE33" s="2253"/>
      <c r="AF33" s="328"/>
      <c r="AG33" s="2253" t="str">
        <f>IF(TITLE_NAME_OR_PR_CHANGE="",IF(TITLE_NAME_OR_PR="","",TITLE_NAME_OR_PR),TITLE_NAME_OR_PR_CHANGE)</f>
        <v/>
      </c>
      <c r="AH33" s="2253"/>
      <c r="AI33" s="2253"/>
      <c r="AJ33" s="2253"/>
      <c r="AK33" s="2253"/>
      <c r="AL33" s="2253"/>
      <c r="AM33" s="2253"/>
      <c r="AN33" s="2253"/>
      <c r="AO33" s="328"/>
      <c r="AP33" s="328"/>
      <c r="AQ33" s="282"/>
      <c r="AR33" s="370"/>
      <c r="AS33" s="370"/>
      <c r="AT33" s="370"/>
      <c r="AU33" s="370"/>
      <c r="AV33" s="370"/>
      <c r="AW33" s="420">
        <v>0</v>
      </c>
    </row>
    <row s="1855" customFormat="1" customHeight="1" ht="18.75" hidden="1">
      <c r="A34" s="1250"/>
      <c r="B34" s="1250"/>
      <c r="C34" s="1250"/>
      <c r="D34" s="1250"/>
      <c r="E34" s="1250"/>
      <c r="F34" s="1250"/>
      <c r="G34" s="1250"/>
      <c r="H34" s="1250"/>
      <c r="I34" s="1250"/>
      <c r="J34" s="1250"/>
      <c r="K34" s="1250"/>
      <c r="L34" s="1250"/>
      <c r="M34" s="1382"/>
      <c r="N34" s="1250"/>
      <c r="O34" s="1250"/>
      <c r="P34" s="1250"/>
      <c r="U34" s="2252" t="s">
        <v>423</v>
      </c>
      <c r="V34" s="2252"/>
      <c r="W34" s="1374"/>
      <c r="X34" s="2266" t="str">
        <f>IF(TITLE_DATE_PR_CHANGE="",IF(TITLE_DATE_PR="","",TITLE_DATE_PR),TITLE_DATE_PR_CHANGE)</f>
        <v/>
      </c>
      <c r="Y34" s="2266"/>
      <c r="Z34" s="2266"/>
      <c r="AA34" s="2266"/>
      <c r="AB34" s="2266"/>
      <c r="AC34" s="2266"/>
      <c r="AD34" s="2266"/>
      <c r="AE34" s="2266"/>
      <c r="AF34" s="328"/>
      <c r="AG34" s="2266" t="str">
        <f>IF(TITLE_DATE_PR_CHANGE="",IF(TITLE_DATE_PR="","",TITLE_DATE_PR),TITLE_DATE_PR_CHANGE)</f>
        <v/>
      </c>
      <c r="AH34" s="2266"/>
      <c r="AI34" s="2266"/>
      <c r="AJ34" s="2266"/>
      <c r="AK34" s="2266"/>
      <c r="AL34" s="2266"/>
      <c r="AM34" s="2266"/>
      <c r="AN34" s="2266"/>
      <c r="AO34" s="328"/>
      <c r="AP34" s="328"/>
      <c r="AQ34" s="282"/>
      <c r="AR34" s="370"/>
      <c r="AS34" s="370"/>
      <c r="AT34" s="370"/>
      <c r="AU34" s="370"/>
      <c r="AV34" s="370"/>
      <c r="AW34" s="420">
        <v>0</v>
      </c>
    </row>
    <row s="1855" customFormat="1" customHeight="1" ht="18.75" hidden="1">
      <c r="A35" s="1250"/>
      <c r="B35" s="1250"/>
      <c r="C35" s="1250"/>
      <c r="D35" s="1250"/>
      <c r="E35" s="1250"/>
      <c r="F35" s="1250"/>
      <c r="G35" s="1250"/>
      <c r="H35" s="1250"/>
      <c r="I35" s="1250"/>
      <c r="J35" s="1250"/>
      <c r="K35" s="1250"/>
      <c r="L35" s="1250"/>
      <c r="M35" s="1382"/>
      <c r="N35" s="1250"/>
      <c r="O35" s="1250"/>
      <c r="P35" s="1250"/>
      <c r="U35" s="2252" t="s">
        <v>424</v>
      </c>
      <c r="V35" s="2252"/>
      <c r="W35" s="1374"/>
      <c r="X35" s="2253" t="str">
        <f>IF(TITLE_NUMBER_PR_CHANGE="",IF(TITLE_NUMBER_PR="","",TITLE_NUMBER_PR),TITLE_NUMBER_PR_CHANGE)</f>
        <v/>
      </c>
      <c r="Y35" s="2253"/>
      <c r="Z35" s="2253"/>
      <c r="AA35" s="2253"/>
      <c r="AB35" s="2253"/>
      <c r="AC35" s="2253"/>
      <c r="AD35" s="2253"/>
      <c r="AE35" s="2253"/>
      <c r="AF35" s="328"/>
      <c r="AG35" s="2253" t="str">
        <f>IF(TITLE_NUMBER_PR_CHANGE="",IF(TITLE_NUMBER_PR="","",TITLE_NUMBER_PR),TITLE_NUMBER_PR_CHANGE)</f>
        <v/>
      </c>
      <c r="AH35" s="2253"/>
      <c r="AI35" s="2253"/>
      <c r="AJ35" s="2253"/>
      <c r="AK35" s="2253"/>
      <c r="AL35" s="2253"/>
      <c r="AM35" s="2253"/>
      <c r="AN35" s="2253"/>
      <c r="AO35" s="328"/>
      <c r="AP35" s="328"/>
      <c r="AQ35" s="282"/>
      <c r="AR35" s="370"/>
      <c r="AS35" s="370"/>
      <c r="AT35" s="370"/>
      <c r="AU35" s="370"/>
      <c r="AV35" s="370"/>
      <c r="AW35" s="420">
        <v>0</v>
      </c>
    </row>
    <row s="1855" customFormat="1" customHeight="1" ht="18.75" hidden="1">
      <c r="A36" s="1250"/>
      <c r="B36" s="1250"/>
      <c r="C36" s="1250"/>
      <c r="D36" s="1250"/>
      <c r="E36" s="1250"/>
      <c r="F36" s="1250"/>
      <c r="G36" s="1250"/>
      <c r="H36" s="1250"/>
      <c r="I36" s="1250"/>
      <c r="J36" s="1250"/>
      <c r="K36" s="1250"/>
      <c r="L36" s="1250"/>
      <c r="M36" s="1382"/>
      <c r="N36" s="1250"/>
      <c r="O36" s="1250"/>
      <c r="P36" s="1250"/>
      <c r="U36" s="2252" t="s">
        <v>43</v>
      </c>
      <c r="V36" s="2252"/>
      <c r="W36" s="1374"/>
      <c r="X36" s="2253" t="str">
        <f>IF(TITLE_IST_PUB_CHANGE="",IF(TITLE_IST_PUB="","",TITLE_IST_PUB),TITLE_IST_PUB_CHANGE)</f>
        <v/>
      </c>
      <c r="Y36" s="2253"/>
      <c r="Z36" s="2253"/>
      <c r="AA36" s="2253"/>
      <c r="AB36" s="2253"/>
      <c r="AC36" s="2253"/>
      <c r="AD36" s="2253"/>
      <c r="AE36" s="2253"/>
      <c r="AF36" s="328"/>
      <c r="AG36" s="2253" t="str">
        <f>IF(TITLE_IST_PUB_CHANGE="",IF(TITLE_IST_PUB="","",TITLE_IST_PUB),TITLE_IST_PUB_CHANGE)</f>
        <v/>
      </c>
      <c r="AH36" s="2253"/>
      <c r="AI36" s="2253"/>
      <c r="AJ36" s="2253"/>
      <c r="AK36" s="2253"/>
      <c r="AL36" s="2253"/>
      <c r="AM36" s="2253"/>
      <c r="AN36" s="2253"/>
      <c r="AO36" s="328"/>
      <c r="AP36" s="328"/>
      <c r="AQ36" s="282"/>
      <c r="AR36" s="370"/>
      <c r="AS36" s="370"/>
      <c r="AT36" s="370"/>
      <c r="AU36" s="370"/>
      <c r="AV36" s="370"/>
      <c r="AW36" s="420">
        <v>0</v>
      </c>
    </row>
    <row customHeight="1" ht="14.25" hidden="1">
      <c r="R37" s="378"/>
      <c r="S37" s="378"/>
      <c r="T37" s="378"/>
      <c r="U37" s="1277"/>
      <c r="V37" s="365"/>
      <c r="W37" s="365"/>
      <c r="X37" s="324"/>
      <c r="Y37" s="324"/>
      <c r="Z37" s="324"/>
      <c r="AA37" s="324"/>
      <c r="AB37" s="324"/>
      <c r="AC37" s="324"/>
      <c r="AD37" s="324"/>
      <c r="AE37" s="324"/>
      <c r="AF37" s="324"/>
      <c r="AG37" s="324"/>
      <c r="AH37" s="324"/>
      <c r="AI37" s="324"/>
      <c r="AJ37" s="324"/>
      <c r="AK37" s="324"/>
      <c r="AL37" s="324"/>
      <c r="AM37" s="324"/>
      <c r="AN37" s="324"/>
      <c r="AO37" s="324"/>
      <c r="AP37" s="511"/>
      <c r="AW37" s="1157">
        <v>0</v>
      </c>
    </row>
    <row s="1855" customFormat="1" customHeight="1" ht="18.75" hidden="1">
      <c r="A38" s="1250"/>
      <c r="B38" s="1250"/>
      <c r="C38" s="1250"/>
      <c r="D38" s="1250"/>
      <c r="E38" s="1250"/>
      <c r="F38" s="1250"/>
      <c r="G38" s="1250"/>
      <c r="H38" s="1250"/>
      <c r="I38" s="1250"/>
      <c r="J38" s="1250"/>
      <c r="K38" s="1250"/>
      <c r="L38" s="1250"/>
      <c r="M38" s="1382"/>
      <c r="N38" s="1250"/>
      <c r="O38" s="1250"/>
      <c r="P38" s="1250"/>
      <c r="U38" s="2252" t="s">
        <v>425</v>
      </c>
      <c r="V38" s="2252"/>
      <c r="W38" s="1374"/>
      <c r="X38" s="2266" t="str">
        <f>IF(TITLE_DATE_PR_CHANGE="",IF(TITLE_DATE_PR="","",TITLE_DATE_PR),TITLE_DATE_PR_CHANGE)</f>
        <v/>
      </c>
      <c r="Y38" s="2266"/>
      <c r="Z38" s="2266"/>
      <c r="AA38" s="2266"/>
      <c r="AB38" s="2266"/>
      <c r="AC38" s="2266"/>
      <c r="AD38" s="2266"/>
      <c r="AE38" s="2266"/>
      <c r="AF38" s="328"/>
      <c r="AG38" s="2266" t="str">
        <f>IF(TITLE_DATE_PR_CHANGE="",IF(TITLE_DATE_PR="","",TITLE_DATE_PR),TITLE_DATE_PR_CHANGE)</f>
        <v/>
      </c>
      <c r="AH38" s="2266"/>
      <c r="AI38" s="2266"/>
      <c r="AJ38" s="2266"/>
      <c r="AK38" s="2266"/>
      <c r="AL38" s="2266"/>
      <c r="AM38" s="2266"/>
      <c r="AN38" s="2266"/>
      <c r="AO38" s="328"/>
      <c r="AP38" s="328"/>
      <c r="AQ38" s="282"/>
      <c r="AR38" s="370"/>
      <c r="AS38" s="370"/>
      <c r="AT38" s="370"/>
      <c r="AU38" s="370"/>
      <c r="AV38" s="370"/>
      <c r="AW38" s="420">
        <v>0</v>
      </c>
    </row>
    <row s="1855" customFormat="1" customHeight="1" ht="18.75" hidden="1">
      <c r="A39" s="1250"/>
      <c r="B39" s="1250"/>
      <c r="C39" s="1250"/>
      <c r="D39" s="1250"/>
      <c r="E39" s="1250"/>
      <c r="F39" s="1250"/>
      <c r="G39" s="1250"/>
      <c r="H39" s="1250"/>
      <c r="I39" s="1250"/>
      <c r="J39" s="1250"/>
      <c r="K39" s="1250"/>
      <c r="L39" s="1250"/>
      <c r="M39" s="1382"/>
      <c r="N39" s="1250"/>
      <c r="O39" s="1250"/>
      <c r="P39" s="1250"/>
      <c r="U39" s="2252" t="s">
        <v>426</v>
      </c>
      <c r="V39" s="2252"/>
      <c r="W39" s="1374"/>
      <c r="X39" s="2253" t="str">
        <f>IF(TITLE_NUMBER_PR_CHANGE="",IF(TITLE_NUMBER_PR="","",TITLE_NUMBER_PR),TITLE_NUMBER_PR_CHANGE)</f>
        <v/>
      </c>
      <c r="Y39" s="2253"/>
      <c r="Z39" s="2253"/>
      <c r="AA39" s="2253"/>
      <c r="AB39" s="2253"/>
      <c r="AC39" s="2253"/>
      <c r="AD39" s="2253"/>
      <c r="AE39" s="2253"/>
      <c r="AF39" s="328"/>
      <c r="AG39" s="2253" t="str">
        <f>IF(TITLE_NUMBER_PR_CHANGE="",IF(TITLE_NUMBER_PR="","",TITLE_NUMBER_PR),TITLE_NUMBER_PR_CHANGE)</f>
        <v/>
      </c>
      <c r="AH39" s="2253"/>
      <c r="AI39" s="2253"/>
      <c r="AJ39" s="2253"/>
      <c r="AK39" s="2253"/>
      <c r="AL39" s="2253"/>
      <c r="AM39" s="2253"/>
      <c r="AN39" s="2253"/>
      <c r="AO39" s="328"/>
      <c r="AP39" s="328"/>
      <c r="AQ39" s="282"/>
      <c r="AR39" s="370"/>
      <c r="AS39" s="370"/>
      <c r="AT39" s="370"/>
      <c r="AU39" s="370"/>
      <c r="AV39" s="370"/>
      <c r="AW39" s="420">
        <v>0</v>
      </c>
    </row>
    <row s="1855" customFormat="1" customHeight="1" ht="0">
      <c r="A40" s="1250"/>
      <c r="B40" s="1250"/>
      <c r="C40" s="1250"/>
      <c r="D40" s="1250"/>
      <c r="E40" s="1250"/>
      <c r="F40" s="1250"/>
      <c r="G40" s="1250"/>
      <c r="H40" s="1250"/>
      <c r="I40" s="1250"/>
      <c r="J40" s="1250"/>
      <c r="K40" s="1250"/>
      <c r="L40" s="1250"/>
      <c r="M40" s="1382"/>
      <c r="N40" s="1250"/>
      <c r="O40" s="1250"/>
      <c r="P40" s="1250"/>
      <c r="U40" s="325"/>
      <c r="V40" s="325"/>
      <c r="W40" s="1342"/>
      <c r="X40" s="328"/>
      <c r="Y40" s="328"/>
      <c r="Z40" s="328"/>
      <c r="AA40" s="328"/>
      <c r="AB40" s="328"/>
      <c r="AC40" s="328"/>
      <c r="AD40" s="328"/>
      <c r="AE40" s="328"/>
      <c r="AF40" s="280" t="s">
        <v>427</v>
      </c>
      <c r="AG40" s="328"/>
      <c r="AH40" s="328"/>
      <c r="AI40" s="328"/>
      <c r="AJ40" s="328"/>
      <c r="AK40" s="328"/>
      <c r="AL40" s="328"/>
      <c r="AM40" s="328"/>
      <c r="AN40" s="328"/>
      <c r="AO40" s="280" t="s">
        <v>427</v>
      </c>
      <c r="AR40" s="370"/>
      <c r="AS40" s="370"/>
      <c r="AT40" s="370"/>
      <c r="AU40" s="370"/>
      <c r="AV40" s="370"/>
      <c r="AW40" s="420">
        <v>0</v>
      </c>
    </row>
    <row customHeight="1" ht="14.699999999999998">
      <c r="R41" s="378"/>
      <c r="S41" s="378"/>
      <c r="T41" s="378"/>
      <c r="U41" s="1277"/>
      <c r="V41" s="365"/>
      <c r="W41" s="1246"/>
      <c r="X41" s="2254"/>
      <c r="Y41" s="2254"/>
      <c r="Z41" s="2254"/>
      <c r="AA41" s="2254"/>
      <c r="AB41" s="2254"/>
      <c r="AC41" s="2254"/>
      <c r="AD41" s="2254"/>
      <c r="AE41" s="2254"/>
      <c r="AF41" s="2254"/>
      <c r="AG41" s="2254"/>
      <c r="AH41" s="2254"/>
      <c r="AI41" s="2254"/>
      <c r="AJ41" s="2254"/>
      <c r="AK41" s="2254"/>
      <c r="AL41" s="2254"/>
      <c r="AM41" s="2254"/>
      <c r="AN41" s="2254"/>
      <c r="AO41" s="2254"/>
      <c r="AW41" s="1157">
        <v>14</v>
      </c>
    </row>
    <row customHeight="1" ht="14.699999999999998">
      <c r="R42" s="378"/>
      <c r="S42" s="378"/>
      <c r="T42" s="378"/>
      <c r="U42" s="2129" t="s">
        <v>300</v>
      </c>
      <c r="V42" s="2129"/>
      <c r="W42" s="2129"/>
      <c r="X42" s="2129"/>
      <c r="Y42" s="2129"/>
      <c r="Z42" s="2129"/>
      <c r="AA42" s="2129"/>
      <c r="AB42" s="2129"/>
      <c r="AC42" s="2129"/>
      <c r="AD42" s="2129"/>
      <c r="AE42" s="2129"/>
      <c r="AF42" s="2129"/>
      <c r="AG42" s="2129"/>
      <c r="AH42" s="2129"/>
      <c r="AI42" s="2129"/>
      <c r="AJ42" s="2129"/>
      <c r="AK42" s="2129"/>
      <c r="AL42" s="2129"/>
      <c r="AM42" s="2129"/>
      <c r="AN42" s="2129"/>
      <c r="AO42" s="2129"/>
      <c r="AP42" s="2129"/>
      <c r="AQ42" s="2129" t="s">
        <v>301</v>
      </c>
      <c r="AW42" s="1157">
        <v>14</v>
      </c>
    </row>
    <row customHeight="1" ht="14.699999999999998">
      <c r="R43" s="378"/>
      <c r="S43" s="378"/>
      <c r="T43" s="378"/>
      <c r="U43" s="2275" t="s">
        <v>88</v>
      </c>
      <c r="V43" s="2211" t="s">
        <v>428</v>
      </c>
      <c r="W43" s="303"/>
      <c r="X43" s="2276" t="s">
        <v>429</v>
      </c>
      <c r="Y43" s="2293"/>
      <c r="Z43" s="2293"/>
      <c r="AA43" s="2293"/>
      <c r="AB43" s="2293"/>
      <c r="AC43" s="2277"/>
      <c r="AD43" s="2277"/>
      <c r="AE43" s="2278"/>
      <c r="AF43" s="2279" t="s">
        <v>430</v>
      </c>
      <c r="AG43" s="2276" t="s">
        <v>429</v>
      </c>
      <c r="AH43" s="2293"/>
      <c r="AI43" s="2293"/>
      <c r="AJ43" s="2293"/>
      <c r="AK43" s="2293"/>
      <c r="AL43" s="2277"/>
      <c r="AM43" s="2277"/>
      <c r="AN43" s="2278"/>
      <c r="AO43" s="2279" t="s">
        <v>431</v>
      </c>
      <c r="AP43" s="2282" t="s">
        <v>432</v>
      </c>
      <c r="AQ43" s="2129"/>
      <c r="AW43" s="1157">
        <v>14</v>
      </c>
    </row>
    <row customHeight="1" ht="35.699999999999996">
      <c r="R44" s="378"/>
      <c r="S44" s="378"/>
      <c r="T44" s="378"/>
      <c r="U44" s="2275"/>
      <c r="V44" s="2211"/>
      <c r="W44" s="1033"/>
      <c r="X44" s="2296" t="s">
        <v>455</v>
      </c>
      <c r="Y44" s="2314" t="s">
        <v>456</v>
      </c>
      <c r="Z44" s="2314"/>
      <c r="AA44" s="2314"/>
      <c r="AB44" s="2314"/>
      <c r="AC44" s="2296" t="s">
        <v>436</v>
      </c>
      <c r="AD44" s="2613"/>
      <c r="AE44" s="2316"/>
      <c r="AF44" s="2280"/>
      <c r="AG44" s="2296" t="s">
        <v>455</v>
      </c>
      <c r="AH44" s="2314" t="s">
        <v>456</v>
      </c>
      <c r="AI44" s="2314"/>
      <c r="AJ44" s="2314"/>
      <c r="AK44" s="2314"/>
      <c r="AL44" s="2296" t="s">
        <v>436</v>
      </c>
      <c r="AM44" s="2613"/>
      <c r="AN44" s="2316"/>
      <c r="AO44" s="2280"/>
      <c r="AP44" s="2283"/>
      <c r="AQ44" s="2129"/>
      <c r="AW44" s="1157">
        <v>34</v>
      </c>
    </row>
    <row customHeight="1" ht="14.699999999999998">
      <c r="R45" s="378"/>
      <c r="S45" s="378"/>
      <c r="T45" s="378"/>
      <c r="U45" s="2275"/>
      <c r="V45" s="2211"/>
      <c r="W45" s="1033"/>
      <c r="X45" s="2327"/>
      <c r="Y45" s="2319" t="s">
        <v>457</v>
      </c>
      <c r="Z45" s="2272" t="s">
        <v>458</v>
      </c>
      <c r="AA45" s="2322"/>
      <c r="AB45" s="2273"/>
      <c r="AC45" s="2297"/>
      <c r="AD45" s="2614"/>
      <c r="AE45" s="2318"/>
      <c r="AF45" s="2280"/>
      <c r="AG45" s="2327"/>
      <c r="AH45" s="2319" t="s">
        <v>457</v>
      </c>
      <c r="AI45" s="2272" t="s">
        <v>458</v>
      </c>
      <c r="AJ45" s="2322"/>
      <c r="AK45" s="2273"/>
      <c r="AL45" s="2297"/>
      <c r="AM45" s="2614"/>
      <c r="AN45" s="2318"/>
      <c r="AO45" s="2280"/>
      <c r="AP45" s="2283"/>
      <c r="AQ45" s="2129"/>
      <c r="AW45" s="1157">
        <v>14</v>
      </c>
    </row>
    <row customHeight="1" ht="27.299999999999997">
      <c r="R46" s="378"/>
      <c r="S46" s="378"/>
      <c r="T46" s="378"/>
      <c r="U46" s="2275"/>
      <c r="V46" s="2211"/>
      <c r="W46" s="1033"/>
      <c r="X46" s="2327"/>
      <c r="Y46" s="2320"/>
      <c r="Z46" s="2319" t="s">
        <v>459</v>
      </c>
      <c r="AA46" s="2272" t="s">
        <v>460</v>
      </c>
      <c r="AB46" s="2273"/>
      <c r="AC46" s="2319" t="s">
        <v>446</v>
      </c>
      <c r="AD46" s="2323" t="s">
        <v>447</v>
      </c>
      <c r="AE46" s="2324"/>
      <c r="AF46" s="2280"/>
      <c r="AG46" s="2327"/>
      <c r="AH46" s="2320"/>
      <c r="AI46" s="2319" t="s">
        <v>459</v>
      </c>
      <c r="AJ46" s="2272" t="s">
        <v>460</v>
      </c>
      <c r="AK46" s="2273"/>
      <c r="AL46" s="2319" t="s">
        <v>446</v>
      </c>
      <c r="AM46" s="2323" t="s">
        <v>447</v>
      </c>
      <c r="AN46" s="2324"/>
      <c r="AO46" s="2280"/>
      <c r="AP46" s="2283"/>
      <c r="AQ46" s="2129"/>
      <c r="AW46" s="1157">
        <v>26</v>
      </c>
    </row>
    <row customHeight="1" ht="65.25">
      <c r="A47" s="1261"/>
      <c r="B47" s="1261" t="s">
        <v>137</v>
      </c>
      <c r="C47" s="1261" t="s">
        <v>138</v>
      </c>
      <c r="D47" s="1261" t="s">
        <v>139</v>
      </c>
      <c r="E47" s="1312" t="s">
        <v>437</v>
      </c>
      <c r="F47" s="1312" t="s">
        <v>438</v>
      </c>
      <c r="G47" s="1312" t="s">
        <v>439</v>
      </c>
      <c r="H47" s="1312" t="s">
        <v>440</v>
      </c>
      <c r="I47" s="1312" t="s">
        <v>441</v>
      </c>
      <c r="J47" s="1312" t="s">
        <v>442</v>
      </c>
      <c r="K47" s="1312" t="s">
        <v>443</v>
      </c>
      <c r="L47" s="1312" t="s">
        <v>461</v>
      </c>
      <c r="M47" s="1312" t="s">
        <v>418</v>
      </c>
      <c r="R47" s="378"/>
      <c r="S47" s="378"/>
      <c r="T47" s="378"/>
      <c r="U47" s="2275"/>
      <c r="V47" s="2211"/>
      <c r="W47" s="304"/>
      <c r="X47" s="2297"/>
      <c r="Y47" s="2321"/>
      <c r="Z47" s="2321"/>
      <c r="AA47" s="1224" t="s">
        <v>462</v>
      </c>
      <c r="AB47" s="1224" t="s">
        <v>463</v>
      </c>
      <c r="AC47" s="2321"/>
      <c r="AD47" s="2325"/>
      <c r="AE47" s="2326"/>
      <c r="AF47" s="2281"/>
      <c r="AG47" s="2297"/>
      <c r="AH47" s="2321"/>
      <c r="AI47" s="2321"/>
      <c r="AJ47" s="1224" t="s">
        <v>462</v>
      </c>
      <c r="AK47" s="1224" t="s">
        <v>463</v>
      </c>
      <c r="AL47" s="2321"/>
      <c r="AM47" s="2325"/>
      <c r="AN47" s="2326"/>
      <c r="AO47" s="2281"/>
      <c r="AP47" s="2284"/>
      <c r="AQ47" s="2129"/>
      <c r="AW47" s="1157">
        <v>62</v>
      </c>
    </row>
    <row s="1643" customFormat="1" customHeight="1" ht="11.25" hidden="1">
      <c r="A48" s="1261"/>
      <c r="B48" s="1261"/>
      <c r="C48" s="1261"/>
      <c r="D48" s="1261"/>
      <c r="E48" s="1261"/>
      <c r="F48" s="1261"/>
      <c r="G48" s="1261"/>
      <c r="H48" s="1261"/>
      <c r="I48" s="1261"/>
      <c r="J48" s="1261"/>
      <c r="K48" s="1261"/>
      <c r="L48" s="1261"/>
      <c r="M48" s="1312"/>
      <c r="N48" s="1330"/>
      <c r="O48" s="1330"/>
      <c r="P48" s="1330"/>
      <c r="Q48" s="1248"/>
      <c r="R48" s="1249"/>
      <c r="S48" s="1256">
        <v>1</v>
      </c>
      <c r="T48" s="1256"/>
      <c r="U48" s="1279" t="s">
        <v>109</v>
      </c>
      <c r="V48" s="1257" t="s">
        <v>110</v>
      </c>
      <c r="W48" s="1247" t="str">
        <f>OFFSET(W48,0,-1)</f>
        <v>2</v>
      </c>
      <c r="X48" s="1337">
        <f>OFFSET(X48,0,-1)+1</f>
        <v>3</v>
      </c>
      <c r="Y48" s="1343"/>
      <c r="Z48" s="1343"/>
      <c r="AA48" s="1343">
        <f>OFFSET(AA48,0,-1)+1</f>
        <v>1</v>
      </c>
      <c r="AB48" s="1343">
        <f>OFFSET(AB48,0,-1)+1</f>
        <v>2</v>
      </c>
      <c r="AC48" s="1337">
        <f>OFFSET(AC48,0,-1)+1</f>
        <v>3</v>
      </c>
      <c r="AD48" s="2274">
        <f>OFFSET(AD48,0,-1)+1</f>
        <v>4</v>
      </c>
      <c r="AE48" s="2274"/>
      <c r="AF48" s="1337">
        <f>OFFSET(AF48,0,-2)+1</f>
        <v>5</v>
      </c>
      <c r="AG48" s="1337">
        <f>OFFSET(AG48,0,-1)+1</f>
        <v>6</v>
      </c>
      <c r="AH48" s="1337"/>
      <c r="AI48" s="1337"/>
      <c r="AJ48" s="1337">
        <f>OFFSET(AJ48,0,-1)+1</f>
        <v>1</v>
      </c>
      <c r="AK48" s="1337">
        <f>OFFSET(AK48,0,-1)+1</f>
        <v>2</v>
      </c>
      <c r="AL48" s="1337">
        <f>OFFSET(AL48,0,-1)+1</f>
        <v>3</v>
      </c>
      <c r="AM48" s="2274">
        <f>OFFSET(AM48,0,-1)+1</f>
        <v>4</v>
      </c>
      <c r="AN48" s="2274"/>
      <c r="AO48" s="1337">
        <f>OFFSET(AO48,0,-2)+1</f>
        <v>5</v>
      </c>
      <c r="AP48" s="1247">
        <f>OFFSET(AP48,0,-1)</f>
        <v>5</v>
      </c>
      <c r="AQ48" s="1337">
        <f>OFFSET(AQ48,0,-1)+1</f>
        <v>6</v>
      </c>
      <c r="AR48" s="513"/>
      <c r="AS48" s="513"/>
      <c r="AT48" s="513"/>
      <c r="AU48" s="513"/>
      <c r="AV48" s="513"/>
      <c r="AW48" s="498">
        <v>0</v>
      </c>
    </row>
    <row customHeight="1" ht="22.049999999999997">
      <c r="A49" s="1269" t="s">
        <v>176</v>
      </c>
      <c r="B49" s="1269"/>
      <c r="C49" s="1269"/>
      <c r="D49" s="1269"/>
      <c r="E49" s="2291">
        <v>1</v>
      </c>
      <c r="F49" s="1269"/>
      <c r="G49" s="1269"/>
      <c r="H49" s="1269"/>
      <c r="I49" s="1269"/>
      <c r="J49" s="1269"/>
      <c r="K49" s="1269"/>
      <c r="L49" s="1269"/>
      <c r="M49" s="1312"/>
      <c r="N49" s="690"/>
      <c r="O49" s="690"/>
      <c r="P49" s="690"/>
      <c r="Q49" s="363"/>
      <c r="R49" s="362"/>
      <c r="S49" s="362"/>
      <c r="T49" s="357"/>
      <c r="U49" s="1338">
        <f>INDEX(PT_DIFFERENTIATION_NUM_NTAR,MATCH(A49,PT_DIFFERENTIATION_NTAR_ID,0))</f>
        <v>0</v>
      </c>
      <c r="V49" s="300" t="s">
        <v>125</v>
      </c>
      <c r="W49" s="302"/>
      <c r="X49" s="2244"/>
      <c r="Y49" s="2245"/>
      <c r="Z49" s="2245"/>
      <c r="AA49" s="2245"/>
      <c r="AB49" s="2245"/>
      <c r="AC49" s="2245"/>
      <c r="AD49" s="2245"/>
      <c r="AE49" s="2245"/>
      <c r="AF49" s="2246"/>
      <c r="AG49" s="2244" t="str">
        <f>INDEX(PT_DIFFERENTIATION_NTAR,MATCH(A49,PT_DIFFERENTIATION_NTAR_ID,0))</f>
        <v/>
      </c>
      <c r="AH49" s="2245"/>
      <c r="AI49" s="2245"/>
      <c r="AJ49" s="2245"/>
      <c r="AK49" s="2245"/>
      <c r="AL49" s="2245"/>
      <c r="AM49" s="2245"/>
      <c r="AN49" s="2245"/>
      <c r="AO49" s="2245"/>
      <c r="AP49" s="2246"/>
      <c r="AQ49"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2"/>
      <c r="AT49" s="502" t="str">
        <f>IF(V49="","",V49)</f>
        <v>Наименование тарифа</v>
      </c>
      <c r="AU49" s="502"/>
      <c r="AV49" s="502"/>
      <c r="AW49" s="1157">
        <v>21</v>
      </c>
    </row>
    <row customHeight="1" ht="22.049999999999997">
      <c r="A50" s="1269" t="s">
        <v>176</v>
      </c>
      <c r="B50" s="1269" t="s">
        <v>177</v>
      </c>
      <c r="C50" s="1269"/>
      <c r="D50" s="1269"/>
      <c r="E50" s="2292"/>
      <c r="F50" s="2291">
        <v>1</v>
      </c>
      <c r="G50" s="1269"/>
      <c r="H50" s="1269"/>
      <c r="I50" s="1269"/>
      <c r="J50" s="1269"/>
      <c r="K50" s="1269"/>
      <c r="L50" s="1269"/>
      <c r="M50" s="1312"/>
      <c r="N50" s="690"/>
      <c r="O50" s="690"/>
      <c r="P50" s="690"/>
      <c r="Q50" s="1334"/>
      <c r="R50" s="354"/>
      <c r="S50" s="511"/>
      <c r="T50" s="355"/>
      <c r="U50" s="1338" t="str">
        <f>INDEX(PT_DIFFERENTIATION_NUM_TER,MATCH(B50,PT_DIFFERENTIATION_TER_ID,0))</f>
        <v>.</v>
      </c>
      <c r="V50" s="310" t="s">
        <v>397</v>
      </c>
      <c r="W50" s="302"/>
      <c r="X50" s="2244"/>
      <c r="Y50" s="2245"/>
      <c r="Z50" s="2245"/>
      <c r="AA50" s="2245"/>
      <c r="AB50" s="2245"/>
      <c r="AC50" s="2245"/>
      <c r="AD50" s="2245"/>
      <c r="AE50" s="2245"/>
      <c r="AF50" s="2246"/>
      <c r="AG50" s="2244" t="str">
        <f>INDEX(PT_DIFFERENTIATION_TER,MATCH(B50,PT_DIFFERENTIATION_TER_ID,0))</f>
        <v/>
      </c>
      <c r="AH50" s="2245"/>
      <c r="AI50" s="2245"/>
      <c r="AJ50" s="2245"/>
      <c r="AK50" s="2245"/>
      <c r="AL50" s="2245"/>
      <c r="AM50" s="2245"/>
      <c r="AN50" s="2245"/>
      <c r="AO50" s="2245"/>
      <c r="AP50" s="2246"/>
      <c r="AQ50" s="1260" t="s">
        <v>398</v>
      </c>
      <c r="AS50" s="502"/>
      <c r="AT50" s="502" t="str">
        <f>IF(V50="","",V50)</f>
        <v>Территория действия тарифа</v>
      </c>
      <c r="AU50" s="502"/>
      <c r="AV50" s="502"/>
      <c r="AW50" s="1157">
        <v>21</v>
      </c>
    </row>
    <row customHeight="1" ht="24">
      <c r="A51" s="1269" t="s">
        <v>176</v>
      </c>
      <c r="B51" s="1269" t="s">
        <v>177</v>
      </c>
      <c r="C51" s="1269" t="s">
        <v>178</v>
      </c>
      <c r="D51" s="1269"/>
      <c r="E51" s="2292"/>
      <c r="F51" s="2292"/>
      <c r="G51" s="2291">
        <v>1</v>
      </c>
      <c r="H51" s="1269"/>
      <c r="I51" s="1269"/>
      <c r="J51" s="1269"/>
      <c r="K51" s="1269"/>
      <c r="L51" s="1269"/>
      <c r="M51" s="1312"/>
      <c r="N51" s="690"/>
      <c r="O51" s="690"/>
      <c r="P51" s="690"/>
      <c r="Q51" s="356"/>
      <c r="R51" s="354"/>
      <c r="S51" s="511"/>
      <c r="T51" s="355"/>
      <c r="U51" s="1338" t="str">
        <f>INDEX(PT_DIFFERENTIATION_NUM_CS,MATCH(C51,PT_DIFFERENTIATION_CS_ID,0))</f>
        <v>..</v>
      </c>
      <c r="V51" s="311" t="s">
        <v>399</v>
      </c>
      <c r="W51" s="302"/>
      <c r="X51" s="2244"/>
      <c r="Y51" s="2245"/>
      <c r="Z51" s="2245"/>
      <c r="AA51" s="2245"/>
      <c r="AB51" s="2245"/>
      <c r="AC51" s="2245"/>
      <c r="AD51" s="2245"/>
      <c r="AE51" s="2245"/>
      <c r="AF51" s="2246"/>
      <c r="AG51" s="2244" t="str">
        <f>INDEX(PT_DIFFERENTIATION_CS,MATCH(C51,PT_DIFFERENTIATION_CS_ID,0))</f>
        <v/>
      </c>
      <c r="AH51" s="2245"/>
      <c r="AI51" s="2245"/>
      <c r="AJ51" s="2245"/>
      <c r="AK51" s="2245"/>
      <c r="AL51" s="2245"/>
      <c r="AM51" s="2245"/>
      <c r="AN51" s="2245"/>
      <c r="AO51" s="2245"/>
      <c r="AP51" s="2246"/>
      <c r="AQ51" s="1260" t="s">
        <v>400</v>
      </c>
      <c r="AS51" s="502"/>
      <c r="AT51" s="502" t="str">
        <f>IF(V51="","",V51)</f>
        <v>Наименование системы теплоснабжения </v>
      </c>
      <c r="AU51" s="502"/>
      <c r="AV51" s="502"/>
      <c r="AW51" s="1157">
        <v>23</v>
      </c>
    </row>
    <row customHeight="1" ht="22.049999999999997">
      <c r="A52" s="1269" t="s">
        <v>176</v>
      </c>
      <c r="B52" s="1269" t="s">
        <v>177</v>
      </c>
      <c r="C52" s="1269" t="s">
        <v>178</v>
      </c>
      <c r="D52" s="1269" t="s">
        <v>179</v>
      </c>
      <c r="E52" s="2292"/>
      <c r="F52" s="2292"/>
      <c r="G52" s="2292"/>
      <c r="H52" s="2312">
        <v>1</v>
      </c>
      <c r="I52" s="1269"/>
      <c r="J52" s="1269"/>
      <c r="K52" s="1269"/>
      <c r="L52" s="1269"/>
      <c r="M52" s="1312"/>
      <c r="N52" s="690"/>
      <c r="O52" s="690"/>
      <c r="P52" s="690"/>
      <c r="Q52" s="356"/>
      <c r="R52" s="354"/>
      <c r="S52" s="511"/>
      <c r="T52" s="355"/>
      <c r="U52" s="1338" t="str">
        <f>INDEX(PT_DIFFERENTIATION_NUM_IST_TE,MATCH(D52,PT_DIFFERENTIATION_IST_TE_ID,0))</f>
        <v>...</v>
      </c>
      <c r="V52" s="312" t="s">
        <v>401</v>
      </c>
      <c r="W52" s="302"/>
      <c r="X52" s="2244"/>
      <c r="Y52" s="2245"/>
      <c r="Z52" s="2245"/>
      <c r="AA52" s="2245"/>
      <c r="AB52" s="2245"/>
      <c r="AC52" s="2245"/>
      <c r="AD52" s="2245"/>
      <c r="AE52" s="2245"/>
      <c r="AF52" s="2246"/>
      <c r="AG52" s="2244" t="str">
        <f>INDEX(PT_DIFFERENTIATION_IST_TE,MATCH(D52,PT_DIFFERENTIATION_IST_TE_ID,0))</f>
        <v/>
      </c>
      <c r="AH52" s="2245"/>
      <c r="AI52" s="2245"/>
      <c r="AJ52" s="2245"/>
      <c r="AK52" s="2245"/>
      <c r="AL52" s="2245"/>
      <c r="AM52" s="2245"/>
      <c r="AN52" s="2245"/>
      <c r="AO52" s="2245"/>
      <c r="AP52" s="2246"/>
      <c r="AQ52" s="1260" t="s">
        <v>402</v>
      </c>
      <c r="AS52" s="502"/>
      <c r="AT52" s="502" t="str">
        <f>IF(V52="","",V52)</f>
        <v>Источник тепловой энергии  </v>
      </c>
      <c r="AU52" s="502"/>
      <c r="AV52" s="502"/>
      <c r="AW52" s="1157">
        <v>21</v>
      </c>
    </row>
    <row s="1644" customFormat="1" customHeight="1" ht="0">
      <c r="A53" s="1377" t="s">
        <v>176</v>
      </c>
      <c r="B53" s="1377" t="s">
        <v>177</v>
      </c>
      <c r="C53" s="1377" t="s">
        <v>178</v>
      </c>
      <c r="D53" s="1377" t="s">
        <v>179</v>
      </c>
      <c r="E53" s="2292"/>
      <c r="F53" s="2292"/>
      <c r="G53" s="2292"/>
      <c r="H53" s="2313"/>
      <c r="I53" s="2129" t="str">
        <f>U52&amp;".1"</f>
        <v>....1</v>
      </c>
      <c r="J53" s="1377"/>
      <c r="K53" s="1377"/>
      <c r="L53" s="1377"/>
      <c r="M53" s="1383" t="s">
        <v>403</v>
      </c>
      <c r="N53" s="1248"/>
      <c r="O53" s="1248"/>
      <c r="P53" s="1248"/>
      <c r="Q53" s="2259">
        <v>1</v>
      </c>
      <c r="R53" s="1333"/>
      <c r="S53" s="1333"/>
      <c r="T53" s="358"/>
      <c r="U53" s="1044"/>
      <c r="V53" s="1385"/>
      <c r="W53" s="1386"/>
      <c r="X53" s="2298"/>
      <c r="Y53" s="2299"/>
      <c r="Z53" s="2299"/>
      <c r="AA53" s="2299"/>
      <c r="AB53" s="2299"/>
      <c r="AC53" s="2299"/>
      <c r="AD53" s="2299"/>
      <c r="AE53" s="2299"/>
      <c r="AF53" s="2300"/>
      <c r="AG53" s="2298"/>
      <c r="AH53" s="2299"/>
      <c r="AI53" s="2299"/>
      <c r="AJ53" s="2299"/>
      <c r="AK53" s="2299"/>
      <c r="AL53" s="2299"/>
      <c r="AM53" s="2299"/>
      <c r="AN53" s="2299"/>
      <c r="AO53" s="2299"/>
      <c r="AP53" s="2300"/>
      <c r="AQ53" s="1387"/>
      <c r="AS53" s="502"/>
      <c r="AT53" s="502" t="str">
        <f>IF(V53="","",V53)</f>
        <v/>
      </c>
      <c r="AU53" s="502"/>
      <c r="AV53" s="502"/>
      <c r="AW53" s="513">
        <v>0</v>
      </c>
    </row>
    <row customHeight="1" ht="22.049999999999997">
      <c r="A54" s="1269" t="s">
        <v>176</v>
      </c>
      <c r="B54" s="1269" t="s">
        <v>177</v>
      </c>
      <c r="C54" s="1269" t="s">
        <v>178</v>
      </c>
      <c r="D54" s="1269" t="s">
        <v>179</v>
      </c>
      <c r="E54" s="2292"/>
      <c r="F54" s="2292"/>
      <c r="G54" s="2292"/>
      <c r="H54" s="2313"/>
      <c r="I54" s="2103"/>
      <c r="J54" s="2129" t="str">
        <f>I53&amp;".1"</f>
        <v>....1.1</v>
      </c>
      <c r="K54" s="1269"/>
      <c r="L54" s="1269"/>
      <c r="M54" s="1312" t="s">
        <v>406</v>
      </c>
      <c r="Q54" s="2259"/>
      <c r="R54" s="2259">
        <v>1</v>
      </c>
      <c r="S54" s="520"/>
      <c r="T54" s="359"/>
      <c r="U54" s="1338" t="str">
        <f>$J54</f>
        <v>....1.1</v>
      </c>
      <c r="V54" s="288" t="s">
        <v>407</v>
      </c>
      <c r="W54" s="302"/>
      <c r="X54" s="2247"/>
      <c r="Y54" s="2248"/>
      <c r="Z54" s="2248"/>
      <c r="AA54" s="2248"/>
      <c r="AB54" s="2248"/>
      <c r="AC54" s="2237"/>
      <c r="AD54" s="2237"/>
      <c r="AE54" s="2237"/>
      <c r="AF54" s="2310"/>
      <c r="AG54" s="2247"/>
      <c r="AH54" s="2248"/>
      <c r="AI54" s="2248"/>
      <c r="AJ54" s="2248"/>
      <c r="AK54" s="2248"/>
      <c r="AL54" s="2248"/>
      <c r="AM54" s="2248"/>
      <c r="AN54" s="2248"/>
      <c r="AO54" s="2248"/>
      <c r="AP54" s="2249"/>
      <c r="AQ54" s="1260" t="s">
        <v>408</v>
      </c>
      <c r="AS54" s="502"/>
      <c r="AT54" s="502" t="str">
        <f>IF(V54="","",V54)</f>
        <v>Группа потребителей</v>
      </c>
      <c r="AU54" s="502"/>
      <c r="AV54" s="502"/>
      <c r="AW54" s="1157">
        <v>21</v>
      </c>
    </row>
    <row customHeight="1" ht="22.049999999999997">
      <c r="A55" s="1269" t="s">
        <v>176</v>
      </c>
      <c r="B55" s="1269" t="s">
        <v>177</v>
      </c>
      <c r="C55" s="1269" t="s">
        <v>178</v>
      </c>
      <c r="D55" s="1269" t="s">
        <v>179</v>
      </c>
      <c r="E55" s="2292"/>
      <c r="F55" s="2292"/>
      <c r="G55" s="2292"/>
      <c r="H55" s="2313"/>
      <c r="I55" s="2103"/>
      <c r="J55" s="2103"/>
      <c r="K55" s="2129" t="str">
        <f>J54&amp;".1"</f>
        <v>....1.1.1</v>
      </c>
      <c r="L55" s="141"/>
      <c r="M55" s="1312" t="s">
        <v>409</v>
      </c>
      <c r="Q55" s="2259"/>
      <c r="R55" s="2259"/>
      <c r="S55" s="520">
        <v>1</v>
      </c>
      <c r="T55" s="359"/>
      <c r="U55" s="1338" t="str">
        <f>$K55</f>
        <v>....1.1.1</v>
      </c>
      <c r="V55" s="1349"/>
      <c r="W55" s="302"/>
      <c r="X55" s="753"/>
      <c r="Y55" s="753"/>
      <c r="Z55" s="753"/>
      <c r="AA55" s="753"/>
      <c r="AB55" s="1407"/>
      <c r="AC55" s="2267"/>
      <c r="AD55" s="2109" t="s">
        <v>66</v>
      </c>
      <c r="AE55" s="2267"/>
      <c r="AF55" s="2109" t="s">
        <v>66</v>
      </c>
      <c r="AG55" s="1409"/>
      <c r="AH55" s="753"/>
      <c r="AI55" s="753"/>
      <c r="AJ55" s="753"/>
      <c r="AK55" s="1259"/>
      <c r="AL55" s="2267"/>
      <c r="AM55" s="2109" t="s">
        <v>66</v>
      </c>
      <c r="AN55" s="2267"/>
      <c r="AO55" s="2109" t="s">
        <v>66</v>
      </c>
      <c r="AP55" s="1350"/>
      <c r="AQ55" s="1309" t="s">
        <v>452</v>
      </c>
      <c r="AR55" s="513">
        <f>STRCHECKDATE(X57:AP57)</f>
      </c>
      <c r="AS55" s="502"/>
      <c r="AT55" s="502" t="str">
        <f>IF(V55="","",V55)</f>
        <v/>
      </c>
      <c r="AU55" s="502"/>
      <c r="AV55" s="502"/>
      <c r="AW55" s="1157">
        <v>21</v>
      </c>
    </row>
    <row customHeight="1" ht="11.549999999999999">
      <c r="A56" s="1269" t="s">
        <v>176</v>
      </c>
      <c r="B56" s="1269" t="s">
        <v>177</v>
      </c>
      <c r="C56" s="1269" t="s">
        <v>178</v>
      </c>
      <c r="D56" s="1269" t="s">
        <v>179</v>
      </c>
      <c r="E56" s="2292"/>
      <c r="F56" s="2292"/>
      <c r="G56" s="2292"/>
      <c r="H56" s="2313"/>
      <c r="I56" s="2103"/>
      <c r="J56" s="2103"/>
      <c r="K56" s="2103"/>
      <c r="L56" s="2129" t="str">
        <f>K55&amp;".1"</f>
        <v>....1.1.1.1</v>
      </c>
      <c r="M56" s="1312"/>
      <c r="Q56" s="2259"/>
      <c r="R56" s="2259"/>
      <c r="S56" s="520">
        <v>1</v>
      </c>
      <c r="T56" s="359"/>
      <c r="U56" s="1338" t="str">
        <f>$L56</f>
        <v>....1.1.1.1</v>
      </c>
      <c r="V56" s="1393"/>
      <c r="W56" s="302"/>
      <c r="X56" s="327"/>
      <c r="Y56" s="753"/>
      <c r="Z56" s="753"/>
      <c r="AA56" s="753"/>
      <c r="AB56" s="1407"/>
      <c r="AC56" s="2311"/>
      <c r="AD56" s="2109"/>
      <c r="AE56" s="2311"/>
      <c r="AF56" s="2109"/>
      <c r="AG56" s="1409"/>
      <c r="AH56" s="753"/>
      <c r="AI56" s="753"/>
      <c r="AJ56" s="753"/>
      <c r="AK56" s="1259"/>
      <c r="AL56" s="2311"/>
      <c r="AM56" s="2109"/>
      <c r="AN56" s="2311"/>
      <c r="AO56" s="2109"/>
      <c r="AP56" s="1350"/>
      <c r="AQ56" s="2255" t="s">
        <v>453</v>
      </c>
      <c r="AR56" s="513">
        <f>STRCHECKDATE(X58:AP58)</f>
      </c>
      <c r="AS56" s="502"/>
      <c r="AT56" s="502" t="str">
        <f>IF(V56="","",V56)</f>
        <v/>
      </c>
      <c r="AU56" s="502"/>
      <c r="AV56" s="502"/>
      <c r="AW56" s="1157">
        <v>11</v>
      </c>
    </row>
    <row customHeight="1" ht="0">
      <c r="A57" s="1269" t="s">
        <v>176</v>
      </c>
      <c r="B57" s="1269" t="s">
        <v>177</v>
      </c>
      <c r="C57" s="1269" t="s">
        <v>178</v>
      </c>
      <c r="D57" s="1269" t="s">
        <v>179</v>
      </c>
      <c r="E57" s="2292"/>
      <c r="F57" s="2292"/>
      <c r="G57" s="2292"/>
      <c r="H57" s="2313"/>
      <c r="I57" s="2103"/>
      <c r="J57" s="2103"/>
      <c r="K57" s="2103"/>
      <c r="L57" s="2129"/>
      <c r="M57" s="1312"/>
      <c r="Q57" s="2259"/>
      <c r="R57" s="2259"/>
      <c r="S57" s="520"/>
      <c r="T57" s="359"/>
      <c r="U57" s="1344"/>
      <c r="V57" s="302"/>
      <c r="W57" s="302"/>
      <c r="X57" s="327"/>
      <c r="Y57" s="327"/>
      <c r="Z57" s="327"/>
      <c r="AA57" s="327"/>
      <c r="AB57" s="1408" t="str">
        <f>AC55&amp;"-"&amp;AE55</f>
        <v>-</v>
      </c>
      <c r="AC57" s="2311"/>
      <c r="AD57" s="2109"/>
      <c r="AE57" s="2311"/>
      <c r="AF57" s="2109"/>
      <c r="AG57" s="1384"/>
      <c r="AH57" s="327"/>
      <c r="AI57" s="327"/>
      <c r="AJ57" s="327"/>
      <c r="AK57" s="330" t="str">
        <f>AL55&amp;"-"&amp;AN55</f>
        <v>-</v>
      </c>
      <c r="AL57" s="2311"/>
      <c r="AM57" s="2109"/>
      <c r="AN57" s="2311"/>
      <c r="AO57" s="2109"/>
      <c r="AP57" s="1351"/>
      <c r="AQ57" s="2256"/>
      <c r="AS57" s="502"/>
      <c r="AT57" s="502" t="str">
        <f>IF(V57="","",V57)</f>
        <v/>
      </c>
      <c r="AU57" s="502"/>
      <c r="AV57" s="502"/>
      <c r="AW57" s="1157">
        <v>0</v>
      </c>
    </row>
    <row customHeight="1" ht="11.549999999999999">
      <c r="A58" s="1269" t="s">
        <v>176</v>
      </c>
      <c r="B58" s="1269" t="s">
        <v>177</v>
      </c>
      <c r="C58" s="1269" t="s">
        <v>178</v>
      </c>
      <c r="D58" s="1269" t="s">
        <v>179</v>
      </c>
      <c r="E58" s="2292"/>
      <c r="F58" s="2292"/>
      <c r="G58" s="2292"/>
      <c r="H58" s="2313"/>
      <c r="I58" s="2103"/>
      <c r="J58" s="2103"/>
      <c r="K58" s="2129"/>
      <c r="L58" s="1269"/>
      <c r="M58" s="1312"/>
      <c r="Q58" s="2259"/>
      <c r="R58" s="2259"/>
      <c r="S58" s="1333"/>
      <c r="T58" s="358"/>
      <c r="U58" s="1280"/>
      <c r="V58" s="290" t="s">
        <v>454</v>
      </c>
      <c r="W58" s="369"/>
      <c r="X58" s="369"/>
      <c r="Y58" s="369"/>
      <c r="Z58" s="369"/>
      <c r="AA58" s="369"/>
      <c r="AB58" s="369"/>
      <c r="AC58" s="2311"/>
      <c r="AD58" s="2109"/>
      <c r="AE58" s="2311"/>
      <c r="AF58" s="2109"/>
      <c r="AG58" s="369"/>
      <c r="AH58" s="369"/>
      <c r="AI58" s="369"/>
      <c r="AJ58" s="369"/>
      <c r="AK58" s="369"/>
      <c r="AL58" s="2311"/>
      <c r="AM58" s="2109"/>
      <c r="AN58" s="2311"/>
      <c r="AO58" s="2109"/>
      <c r="AP58" s="326"/>
      <c r="AQ58" s="2256"/>
      <c r="AS58" s="502"/>
      <c r="AT58" s="502" t="str">
        <f>IF(V58="","",V58)</f>
        <v>Добавить наименование поставщика</v>
      </c>
      <c r="AU58" s="502"/>
      <c r="AV58" s="502"/>
      <c r="AW58" s="1157">
        <v>11</v>
      </c>
    </row>
    <row customHeight="1" ht="11.549999999999999">
      <c r="A59" s="1269" t="s">
        <v>176</v>
      </c>
      <c r="B59" s="1269" t="s">
        <v>177</v>
      </c>
      <c r="C59" s="1269" t="s">
        <v>178</v>
      </c>
      <c r="D59" s="1269" t="s">
        <v>179</v>
      </c>
      <c r="E59" s="2292"/>
      <c r="F59" s="2292"/>
      <c r="G59" s="2292"/>
      <c r="H59" s="2313"/>
      <c r="I59" s="2103"/>
      <c r="J59" s="2129"/>
      <c r="K59" s="1269"/>
      <c r="L59" s="1269"/>
      <c r="M59" s="1312"/>
      <c r="Q59" s="2259"/>
      <c r="R59" s="2259"/>
      <c r="S59" s="1333"/>
      <c r="T59" s="358"/>
      <c r="U59" s="1280"/>
      <c r="V59" s="289" t="s">
        <v>411</v>
      </c>
      <c r="W59" s="369"/>
      <c r="X59" s="369"/>
      <c r="Y59" s="369"/>
      <c r="Z59" s="369"/>
      <c r="AA59" s="369"/>
      <c r="AB59" s="369"/>
      <c r="AC59" s="1410"/>
      <c r="AD59" s="1410"/>
      <c r="AE59" s="1410"/>
      <c r="AF59" s="1410"/>
      <c r="AG59" s="369"/>
      <c r="AH59" s="369"/>
      <c r="AI59" s="369"/>
      <c r="AJ59" s="369"/>
      <c r="AK59" s="369"/>
      <c r="AL59" s="369"/>
      <c r="AM59" s="369"/>
      <c r="AN59" s="369"/>
      <c r="AO59" s="369"/>
      <c r="AP59" s="326"/>
      <c r="AQ59" s="2257"/>
      <c r="AS59" s="502"/>
      <c r="AT59" s="502" t="str">
        <f>IF(V59="","",V59)</f>
        <v>Добавить вид теплоносителя (параметры теплоносителя)</v>
      </c>
      <c r="AU59" s="502"/>
      <c r="AV59" s="502"/>
      <c r="AW59" s="1157">
        <v>11</v>
      </c>
    </row>
    <row customHeight="1" ht="11.549999999999999">
      <c r="A60" s="1269" t="s">
        <v>176</v>
      </c>
      <c r="B60" s="1269" t="s">
        <v>177</v>
      </c>
      <c r="C60" s="1269" t="s">
        <v>178</v>
      </c>
      <c r="D60" s="1269" t="s">
        <v>179</v>
      </c>
      <c r="E60" s="2292"/>
      <c r="F60" s="2292"/>
      <c r="G60" s="2292"/>
      <c r="H60" s="2313"/>
      <c r="I60" s="2129"/>
      <c r="J60" s="1269"/>
      <c r="K60" s="1269"/>
      <c r="L60" s="1269"/>
      <c r="M60" s="1312"/>
      <c r="Q60" s="2259"/>
      <c r="R60" s="1333"/>
      <c r="S60" s="1333"/>
      <c r="T60" s="358"/>
      <c r="U60" s="1280"/>
      <c r="V60" s="367" t="s">
        <v>412</v>
      </c>
      <c r="W60" s="369"/>
      <c r="X60" s="369"/>
      <c r="Y60" s="369"/>
      <c r="Z60" s="369"/>
      <c r="AA60" s="369"/>
      <c r="AB60" s="369"/>
      <c r="AC60" s="369"/>
      <c r="AD60" s="369"/>
      <c r="AE60" s="369"/>
      <c r="AF60" s="368"/>
      <c r="AG60" s="369"/>
      <c r="AH60" s="369"/>
      <c r="AI60" s="369"/>
      <c r="AJ60" s="369"/>
      <c r="AK60" s="369"/>
      <c r="AL60" s="369"/>
      <c r="AM60" s="369"/>
      <c r="AN60" s="369"/>
      <c r="AO60" s="368"/>
      <c r="AP60" s="369"/>
      <c r="AQ60" s="305"/>
      <c r="AS60" s="502"/>
      <c r="AT60" s="502" t="str">
        <f>IF(V60="","",V60)</f>
        <v>Добавить группу потребителей</v>
      </c>
      <c r="AU60" s="502"/>
      <c r="AV60" s="502"/>
      <c r="AW60" s="1157">
        <v>11</v>
      </c>
    </row>
    <row customHeight="1" ht="0">
      <c r="A61" s="1269" t="s">
        <v>176</v>
      </c>
      <c r="B61" s="1269" t="s">
        <v>177</v>
      </c>
      <c r="C61" s="1269" t="s">
        <v>178</v>
      </c>
      <c r="D61" s="1269" t="s">
        <v>179</v>
      </c>
      <c r="E61" s="2292"/>
      <c r="F61" s="2292"/>
      <c r="G61" s="2292"/>
      <c r="H61" s="2312"/>
      <c r="I61" s="1269"/>
      <c r="J61" s="1269"/>
      <c r="K61" s="1269"/>
      <c r="L61" s="1269"/>
      <c r="M61" s="1312"/>
      <c r="N61" s="690"/>
      <c r="O61" s="690"/>
      <c r="P61" s="511"/>
      <c r="Q61" s="362"/>
      <c r="R61" s="377"/>
      <c r="S61" s="357"/>
      <c r="T61" s="362"/>
      <c r="U61" s="1388"/>
      <c r="V61" s="1389"/>
      <c r="W61" s="1390"/>
      <c r="X61" s="1390"/>
      <c r="Y61" s="1390"/>
      <c r="Z61" s="1390"/>
      <c r="AA61" s="1390"/>
      <c r="AB61" s="1390"/>
      <c r="AC61" s="1390"/>
      <c r="AD61" s="1390"/>
      <c r="AE61" s="1390"/>
      <c r="AF61" s="1390"/>
      <c r="AG61" s="1390"/>
      <c r="AH61" s="1390"/>
      <c r="AI61" s="1390"/>
      <c r="AJ61" s="1390"/>
      <c r="AK61" s="1390"/>
      <c r="AL61" s="1390"/>
      <c r="AM61" s="1390"/>
      <c r="AN61" s="1390"/>
      <c r="AO61" s="1390"/>
      <c r="AP61" s="1390"/>
      <c r="AQ61" s="1391"/>
      <c r="AS61" s="502"/>
      <c r="AT61" s="502" t="str">
        <f>IF(V61="","",V61)</f>
        <v/>
      </c>
      <c r="AU61" s="502"/>
      <c r="AV61" s="502"/>
      <c r="AW61" s="1157">
        <v>0</v>
      </c>
    </row>
    <row s="1644" customFormat="1" customHeight="1" ht="0">
      <c r="A62" s="1377" t="s">
        <v>176</v>
      </c>
      <c r="B62" s="1377" t="s">
        <v>177</v>
      </c>
      <c r="C62" s="1377" t="s">
        <v>178</v>
      </c>
      <c r="D62" s="1376"/>
      <c r="E62" s="2292"/>
      <c r="F62" s="2292"/>
      <c r="G62" s="2291"/>
      <c r="H62" s="1376"/>
      <c r="I62" s="1376"/>
      <c r="J62" s="1376"/>
      <c r="K62" s="1376"/>
      <c r="L62" s="1376"/>
      <c r="M62" s="1379"/>
      <c r="N62" s="1380"/>
      <c r="O62" s="1380"/>
      <c r="P62" s="353"/>
      <c r="Q62" s="1318"/>
      <c r="R62" s="1319"/>
      <c r="S62" s="1318"/>
      <c r="T62" s="1318"/>
      <c r="U62" s="1324"/>
      <c r="V62" s="1327" t="s">
        <v>414</v>
      </c>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S62" s="791"/>
      <c r="AT62" s="791" t="str">
        <f>IF(V62="","",V62)</f>
        <v>Добавить источник для дифференциации</v>
      </c>
      <c r="AU62" s="791"/>
      <c r="AV62" s="791"/>
      <c r="AW62" s="520">
        <v>0</v>
      </c>
    </row>
    <row s="1644" customFormat="1" customHeight="1" ht="0">
      <c r="A63" s="1377" t="s">
        <v>176</v>
      </c>
      <c r="B63" s="1377" t="s">
        <v>177</v>
      </c>
      <c r="C63" s="1376"/>
      <c r="D63" s="1376"/>
      <c r="E63" s="2292"/>
      <c r="F63" s="2291"/>
      <c r="G63" s="1376"/>
      <c r="H63" s="1376"/>
      <c r="I63" s="1376"/>
      <c r="J63" s="1376"/>
      <c r="K63" s="1376"/>
      <c r="L63" s="1376"/>
      <c r="M63" s="1379"/>
      <c r="N63" s="1381"/>
      <c r="O63" s="1381"/>
      <c r="P63" s="353"/>
      <c r="Q63" s="1318"/>
      <c r="R63" s="1319"/>
      <c r="S63" s="1318"/>
      <c r="T63" s="1318"/>
      <c r="U63" s="1324"/>
      <c r="V63" s="1327" t="s">
        <v>415</v>
      </c>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S63" s="791"/>
      <c r="AT63" s="791" t="str">
        <f>IF(V63="","",V63)</f>
        <v>Добавить централизованную систему для дифференциации</v>
      </c>
      <c r="AU63" s="791"/>
      <c r="AV63" s="791"/>
      <c r="AW63" s="520">
        <v>0</v>
      </c>
    </row>
    <row s="1644" customFormat="1" customHeight="1" ht="0">
      <c r="A64" s="1377" t="s">
        <v>176</v>
      </c>
      <c r="B64" s="1377"/>
      <c r="C64" s="1377"/>
      <c r="D64" s="1377"/>
      <c r="E64" s="2291"/>
      <c r="F64" s="1377"/>
      <c r="G64" s="1377"/>
      <c r="H64" s="1377"/>
      <c r="I64" s="1377"/>
      <c r="J64" s="1377"/>
      <c r="K64" s="1377"/>
      <c r="L64" s="1377"/>
      <c r="M64" s="1383"/>
      <c r="N64" s="1381"/>
      <c r="O64" s="1381"/>
      <c r="P64" s="353"/>
      <c r="Q64" s="382"/>
      <c r="R64" s="1346"/>
      <c r="S64" s="382"/>
      <c r="T64" s="382"/>
      <c r="U64" s="1324"/>
      <c r="V64" s="1327" t="s">
        <v>416</v>
      </c>
      <c r="W64" s="1326"/>
      <c r="X64" s="1326"/>
      <c r="Y64" s="1326"/>
      <c r="Z64" s="1326"/>
      <c r="AA64" s="1326"/>
      <c r="AB64" s="1326"/>
      <c r="AC64" s="1326"/>
      <c r="AD64" s="1326"/>
      <c r="AE64" s="1326"/>
      <c r="AF64" s="1326"/>
      <c r="AG64" s="1326"/>
      <c r="AH64" s="1326"/>
      <c r="AI64" s="1326"/>
      <c r="AJ64" s="1326"/>
      <c r="AK64" s="1326"/>
      <c r="AL64" s="1326"/>
      <c r="AM64" s="1326"/>
      <c r="AN64" s="1326"/>
      <c r="AO64" s="1326"/>
      <c r="AP64" s="1326"/>
      <c r="AQ64" s="1326"/>
      <c r="AS64" s="502"/>
      <c r="AT64" s="502" t="str">
        <f>IF(V64="","",V64)</f>
        <v>Добавить территорию для дифференциации</v>
      </c>
      <c r="AU64" s="502"/>
      <c r="AV64" s="502"/>
      <c r="AW64" s="513">
        <v>0</v>
      </c>
    </row>
    <row s="1644" customFormat="1" customHeight="1" ht="4.2">
      <c r="A65" s="1376"/>
      <c r="B65" s="1376"/>
      <c r="C65" s="1376"/>
      <c r="D65" s="1376"/>
      <c r="E65" s="1377"/>
      <c r="F65" s="1376"/>
      <c r="G65" s="1376"/>
      <c r="H65" s="1376"/>
      <c r="I65" s="1376"/>
      <c r="J65" s="1376"/>
      <c r="K65" s="1376"/>
      <c r="L65" s="1376"/>
      <c r="M65" s="1379"/>
      <c r="N65" s="1381"/>
      <c r="O65" s="1381"/>
      <c r="P65" s="353"/>
      <c r="Q65" s="1318"/>
      <c r="R65" s="1319"/>
      <c r="S65" s="1318"/>
      <c r="T65" s="1318"/>
      <c r="U65" s="1324"/>
      <c r="V65" s="1327" t="s">
        <v>448</v>
      </c>
      <c r="W65" s="1326"/>
      <c r="X65" s="1326"/>
      <c r="Y65" s="1326"/>
      <c r="Z65" s="1326"/>
      <c r="AA65" s="1326"/>
      <c r="AB65" s="1326"/>
      <c r="AC65" s="1326"/>
      <c r="AD65" s="1326"/>
      <c r="AE65" s="1326"/>
      <c r="AF65" s="1326"/>
      <c r="AG65" s="1326"/>
      <c r="AH65" s="1326"/>
      <c r="AI65" s="1326"/>
      <c r="AJ65" s="1326"/>
      <c r="AK65" s="1326"/>
      <c r="AL65" s="1326"/>
      <c r="AM65" s="1326"/>
      <c r="AN65" s="1326"/>
      <c r="AO65" s="1326"/>
      <c r="AP65" s="1326"/>
      <c r="AQ65" s="1326"/>
      <c r="AS65" s="791"/>
      <c r="AT65" s="791" t="str">
        <f>IF(V65="","",V65)</f>
        <v>Добавить наименование тарифа</v>
      </c>
      <c r="AU65" s="791"/>
      <c r="AV65" s="791"/>
      <c r="AW65" s="520">
        <v>4</v>
      </c>
    </row>
    <row customHeight="1" ht="11.549999999999999">
      <c r="N66" s="1157"/>
      <c r="O66" s="1157"/>
      <c r="P66" s="511"/>
      <c r="Q66" s="1157"/>
      <c r="R66" s="1157"/>
      <c r="S66" s="1157"/>
      <c r="T66" s="1157"/>
      <c r="U66" s="1157"/>
      <c r="AR66" s="1157"/>
      <c r="AS66" s="1157"/>
      <c r="AT66" s="1157"/>
      <c r="AU66" s="1157"/>
      <c r="AV66" s="1157"/>
      <c r="AW66" s="1157">
        <v>11</v>
      </c>
    </row>
    <row customHeight="1" ht="35.699999999999996">
      <c r="P67" s="511"/>
      <c r="U67" s="1255"/>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W67" s="1157">
        <v>34</v>
      </c>
    </row>
    <row customHeight="1" ht="21">
      <c r="P68" s="511"/>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W68" s="1157">
        <v>20</v>
      </c>
    </row>
    <row customHeight="1" ht="14.699999999999998">
      <c r="P69" s="511"/>
      <c r="AW69" s="1157">
        <v>14</v>
      </c>
    </row>
    <row customHeight="1" ht="28.5">
      <c r="P70" s="511"/>
      <c r="V70" s="2287"/>
      <c r="W70" s="2287"/>
      <c r="X70" s="2287"/>
      <c r="Y70" s="2287"/>
      <c r="Z70" s="2287"/>
      <c r="AA70" s="2287"/>
      <c r="AB70" s="2287"/>
      <c r="AC70" s="2287"/>
      <c r="AD70" s="2287"/>
      <c r="AE70" s="2287"/>
      <c r="AF70" s="2287"/>
      <c r="AG70" s="2287"/>
      <c r="AH70" s="2287"/>
      <c r="AI70" s="2287"/>
      <c r="AJ70" s="2287"/>
      <c r="AK70" s="2287"/>
      <c r="AL70" s="2287"/>
      <c r="AM70" s="2287"/>
      <c r="AN70" s="2287"/>
      <c r="AO70" s="2287"/>
      <c r="AP70" s="2287"/>
      <c r="AQ70" s="2287"/>
      <c r="AW70" s="1157">
        <v>27</v>
      </c>
    </row>
    <row customHeight="1" ht="18.75">
      <c r="P71" s="511"/>
      <c r="V71" s="2287"/>
      <c r="W71" s="2287"/>
      <c r="X71" s="2287"/>
      <c r="Y71" s="2287"/>
      <c r="Z71" s="2287"/>
      <c r="AA71" s="2287"/>
      <c r="AB71" s="2287"/>
      <c r="AC71" s="2287"/>
      <c r="AD71" s="2287"/>
      <c r="AE71" s="2287"/>
      <c r="AF71" s="2287"/>
      <c r="AG71" s="2287"/>
      <c r="AH71" s="2287"/>
      <c r="AI71" s="2287"/>
      <c r="AJ71" s="2287"/>
      <c r="AK71" s="2287"/>
      <c r="AL71" s="2287"/>
      <c r="AM71" s="2287"/>
      <c r="AN71" s="2287"/>
      <c r="AO71" s="2287"/>
      <c r="AP71" s="2287"/>
      <c r="AQ71" s="2287"/>
      <c r="AW71" s="1157">
        <v>18</v>
      </c>
    </row>
    <row customHeight="1" ht="22.5" hidden="1">
      <c r="A72" s="1157" t="s">
        <v>82</v>
      </c>
      <c r="B72" s="1157">
        <v>0</v>
      </c>
      <c r="C72" s="1157">
        <v>0</v>
      </c>
      <c r="D72" s="1157">
        <v>0</v>
      </c>
      <c r="E72" s="1157">
        <v>0</v>
      </c>
      <c r="F72" s="1157">
        <v>0</v>
      </c>
      <c r="G72" s="1157">
        <v>0</v>
      </c>
      <c r="H72" s="1157">
        <v>0</v>
      </c>
      <c r="I72" s="1157">
        <v>0</v>
      </c>
      <c r="J72" s="1157">
        <v>0</v>
      </c>
      <c r="K72" s="1157">
        <v>0</v>
      </c>
      <c r="L72" s="1157">
        <v>0</v>
      </c>
      <c r="M72" s="1329">
        <v>0</v>
      </c>
      <c r="N72" s="1330">
        <v>0</v>
      </c>
      <c r="O72" s="1330">
        <v>0</v>
      </c>
      <c r="P72" s="1330">
        <v>0</v>
      </c>
      <c r="Q72" s="1330">
        <v>0</v>
      </c>
      <c r="R72" s="346">
        <v>3</v>
      </c>
      <c r="S72" s="346">
        <v>3</v>
      </c>
      <c r="T72" s="346">
        <v>3</v>
      </c>
      <c r="U72" s="583">
        <v>12</v>
      </c>
      <c r="V72" s="1157">
        <v>31</v>
      </c>
      <c r="W72" s="1157">
        <v>0</v>
      </c>
      <c r="X72" s="1157">
        <v>0</v>
      </c>
      <c r="Y72" s="1157">
        <v>0</v>
      </c>
      <c r="Z72" s="1157">
        <v>0</v>
      </c>
      <c r="AA72" s="1157">
        <v>0</v>
      </c>
      <c r="AB72" s="1157">
        <v>0</v>
      </c>
      <c r="AC72" s="1157">
        <v>0</v>
      </c>
      <c r="AD72" s="1157">
        <v>0</v>
      </c>
      <c r="AE72" s="1157">
        <v>0</v>
      </c>
      <c r="AF72" s="1157">
        <v>0</v>
      </c>
      <c r="AG72" s="1157">
        <v>21</v>
      </c>
      <c r="AH72" s="1157">
        <v>21</v>
      </c>
      <c r="AI72" s="1157">
        <v>21</v>
      </c>
      <c r="AJ72" s="1157">
        <v>21</v>
      </c>
      <c r="AK72" s="1157">
        <v>21</v>
      </c>
      <c r="AL72" s="1157">
        <v>11</v>
      </c>
      <c r="AM72" s="1157">
        <v>3</v>
      </c>
      <c r="AN72" s="1157">
        <v>11</v>
      </c>
      <c r="AO72" s="1157">
        <v>8</v>
      </c>
      <c r="AP72" s="1157">
        <v>4</v>
      </c>
      <c r="AQ72" s="1157">
        <v>115</v>
      </c>
      <c r="AR72" s="513">
        <v>10</v>
      </c>
      <c r="AS72" s="513">
        <v>10</v>
      </c>
      <c r="AT72" s="513">
        <v>10</v>
      </c>
      <c r="AU72" s="513">
        <v>10</v>
      </c>
      <c r="AV72" s="513">
        <v>10</v>
      </c>
      <c r="AW72" s="1157">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7B955A25-9ACE-CC66-5B54-E8E65D770D1D}" mc:Ignorable="x14ac xr xr2 xr3">
  <sheetPr>
    <tabColor rgb="FFCCCCFF"/>
  </sheetPr>
  <dimension ref="A1:Q79"/>
  <sheetViews>
    <sheetView topLeftCell="C1" showGridLines="0" zoomScale="90" workbookViewId="0">
      <selection activeCell="I69" sqref="I69"/>
    </sheetView>
  </sheetViews>
  <sheetFormatPr defaultColWidth="9.140625" customHeight="1" defaultRowHeight="11.25"/>
  <cols>
    <col min="1" max="1" style="789" width="10.7109375" hidden="1" customWidth="1"/>
    <col min="2" max="2" style="734" width="10.7109375" hidden="1" customWidth="1"/>
    <col min="3" max="3" style="532" width="3.00390625" customWidth="1"/>
    <col min="4" max="4" style="1637" width="1.00390625" customWidth="1"/>
    <col min="5" max="6" style="1637" width="55.00390625" customWidth="1"/>
    <col min="7" max="7" style="2127" width="1.00390625" customWidth="1"/>
    <col min="8" max="8" style="1637" width="18.00390625" hidden="1" customWidth="1"/>
    <col min="9" max="9" style="533" width="59.00390625" customWidth="1"/>
    <col min="10" max="10" style="1368" width="52.140625" hidden="1" customWidth="1"/>
    <col min="11" max="11" style="1637" width="8.00390625" customWidth="1"/>
    <col min="12" max="12" style="1637" width="77.00390625" customWidth="1"/>
    <col min="13" max="16" style="1637" width="8.00390625" customWidth="1"/>
    <col min="17" max="17" style="1637" width="12.00390625" hidden="1" customWidth="1"/>
  </cols>
  <sheetData>
    <row s="624" customFormat="1" customHeight="1" ht="3">
      <c r="A1" s="785"/>
      <c r="B1" s="243"/>
      <c r="F1" s="244" t="s">
        <v>13</v>
      </c>
      <c r="G1" s="413"/>
      <c r="H1" s="73"/>
      <c r="I1" s="413"/>
      <c r="J1" s="873"/>
      <c r="Q1" s="244" t="s">
        <v>14</v>
      </c>
    </row>
    <row s="1634" customFormat="1" customHeight="1" ht="14.25">
      <c r="A2" s="785"/>
      <c r="B2" s="100"/>
      <c r="E2" s="1742" t="str">
        <f>code</f>
        <v>Код отчёта: PP110.OPEN.INFO.QUARTER.HEAT.EIAS</v>
      </c>
      <c r="F2" s="271"/>
      <c r="G2" s="247"/>
      <c r="H2" s="247"/>
      <c r="I2" s="247"/>
      <c r="J2" s="874"/>
      <c r="K2" s="247"/>
      <c r="Q2" s="73">
        <v>14</v>
      </c>
    </row>
    <row customHeight="1" ht="14.699999999999998">
      <c r="E3" s="248" t="str">
        <f>version</f>
        <v>Версия отчёта: 1.1.1</v>
      </c>
      <c r="F3" s="271"/>
      <c r="G3" s="772"/>
      <c r="H3" s="772"/>
      <c r="I3" s="772"/>
      <c r="J3" s="875"/>
      <c r="K3" s="90"/>
      <c r="Q3" s="76">
        <v>14</v>
      </c>
    </row>
    <row s="1614" customFormat="1" customHeight="1" ht="6.3">
      <c r="A4" s="786"/>
      <c r="B4" s="234"/>
      <c r="C4" s="235"/>
      <c r="D4" s="236"/>
      <c r="E4" s="245"/>
      <c r="F4" s="246"/>
      <c r="G4" s="773"/>
      <c r="H4" s="411"/>
      <c r="I4" s="413"/>
      <c r="J4" s="876"/>
      <c r="Q4" s="238">
        <v>6</v>
      </c>
    </row>
    <row customHeight="1" ht="39.75">
      <c r="D5" s="77"/>
      <c r="E5" s="2097"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98"/>
      <c r="G5" s="774"/>
      <c r="J5" s="877"/>
      <c r="Q5" s="76">
        <v>38</v>
      </c>
    </row>
    <row s="1614" customFormat="1" customHeight="1" ht="6.3">
      <c r="A6" s="786"/>
      <c r="B6" s="234"/>
      <c r="C6" s="235"/>
      <c r="D6" s="236"/>
      <c r="E6" s="239"/>
      <c r="F6" s="240"/>
      <c r="G6" s="774"/>
      <c r="H6" s="411"/>
      <c r="I6" s="413"/>
      <c r="J6" s="876"/>
      <c r="Q6" s="238">
        <v>6</v>
      </c>
    </row>
    <row customHeight="1" ht="21">
      <c r="D7" s="77"/>
      <c r="E7" s="393" t="s">
        <v>15</v>
      </c>
      <c r="F7" s="217" t="s">
        <v>16</v>
      </c>
      <c r="G7" s="774"/>
      <c r="Q7" s="76">
        <v>20</v>
      </c>
    </row>
    <row s="1614" customFormat="1" customHeight="1" ht="6.3">
      <c r="A8" s="787"/>
      <c r="B8" s="234"/>
      <c r="C8" s="235"/>
      <c r="D8" s="241"/>
      <c r="E8" s="239"/>
      <c r="F8" s="242"/>
      <c r="G8" s="79"/>
      <c r="H8" s="411"/>
      <c r="I8" s="413"/>
      <c r="J8" s="879"/>
      <c r="Q8" s="238">
        <v>6</v>
      </c>
    </row>
    <row s="1637" customFormat="1" customHeight="1" ht="19.5" hidden="1">
      <c r="A9" s="786"/>
      <c r="B9" s="100"/>
      <c r="C9" s="410"/>
      <c r="D9" s="412"/>
      <c r="E9" s="1167" t="s">
        <v>17</v>
      </c>
      <c r="F9" s="1923"/>
      <c r="G9" s="774"/>
      <c r="I9" s="1902" t="str">
        <f>IF(TITLE_STRUCTURE_INFO_ROIV="","","раскрывается "&amp;INDEX(ROIV_INFO_COMMENT,MATCH(TITLE_STRUCTURE_INFO_ROIV,ROIV_INFO_LIST,0)))</f>
        <v/>
      </c>
      <c r="J9" s="878"/>
      <c r="Q9" s="411">
        <v>0</v>
      </c>
    </row>
    <row s="1614" customFormat="1" customHeight="1" ht="24" hidden="1">
      <c r="A10" s="787"/>
      <c r="B10" s="428"/>
      <c r="C10" s="429"/>
      <c r="D10" s="241"/>
      <c r="E10" s="1167" t="s">
        <v>18</v>
      </c>
      <c r="F10" s="2068" t="s">
        <v>19</v>
      </c>
      <c r="G10" s="79"/>
      <c r="H10" s="411"/>
      <c r="I10" s="413"/>
      <c r="J10" s="879"/>
      <c r="Q10" s="432">
        <v>24</v>
      </c>
    </row>
    <row customHeight="1" ht="22.5" hidden="1">
      <c r="A11" s="2100" t="s">
        <v>20</v>
      </c>
      <c r="D11" s="77"/>
      <c r="E11" s="1167" t="s">
        <v>21</v>
      </c>
      <c r="F11" s="1734" t="s">
        <v>22</v>
      </c>
      <c r="G11" s="79"/>
      <c r="H11" s="775" t="s">
        <v>23</v>
      </c>
      <c r="J11" s="878" t="s">
        <v>24</v>
      </c>
      <c r="Q11" s="76">
        <v>0</v>
      </c>
    </row>
    <row customHeight="1" ht="22.5" hidden="1">
      <c r="A12" s="2100"/>
      <c r="D12" s="77"/>
      <c r="E12" s="1167" t="s">
        <v>25</v>
      </c>
      <c r="F12" s="1734"/>
      <c r="G12" s="75"/>
      <c r="J12" s="878" t="s">
        <v>26</v>
      </c>
      <c r="Q12" s="76">
        <v>0</v>
      </c>
    </row>
    <row s="1637" customFormat="1" customHeight="1" ht="22.5" hidden="1">
      <c r="A13" s="790" t="s">
        <v>27</v>
      </c>
      <c r="B13" s="100"/>
      <c r="C13" s="410"/>
      <c r="D13" s="412"/>
      <c r="E13" s="1777" t="s">
        <v>28</v>
      </c>
      <c r="F13" s="1734" t="s">
        <v>22</v>
      </c>
      <c r="G13" s="79"/>
      <c r="H13" s="772"/>
      <c r="I13" s="413"/>
      <c r="J13" s="1778" t="s">
        <v>29</v>
      </c>
      <c r="Q13" s="411">
        <v>0</v>
      </c>
    </row>
    <row s="1637" customFormat="1" customHeight="1" ht="27">
      <c r="A14" s="790" t="s">
        <v>30</v>
      </c>
      <c r="B14" s="100"/>
      <c r="C14" s="410"/>
      <c r="D14" s="412"/>
      <c r="E14" s="1167" t="s">
        <v>31</v>
      </c>
      <c r="F14" s="1769">
        <v>2024</v>
      </c>
      <c r="G14" s="79"/>
      <c r="H14" s="772"/>
      <c r="I14" s="413"/>
      <c r="J14" s="878" t="s">
        <v>32</v>
      </c>
      <c r="Q14" s="411">
        <v>0</v>
      </c>
    </row>
    <row s="1637" customFormat="1" customHeight="1" ht="19.5">
      <c r="A15" s="790" t="s">
        <v>33</v>
      </c>
      <c r="B15" s="100"/>
      <c r="C15" s="410"/>
      <c r="D15" s="412"/>
      <c r="E15" s="1167" t="s">
        <v>34</v>
      </c>
      <c r="F15" s="1769" t="s">
        <v>35</v>
      </c>
      <c r="G15" s="79"/>
      <c r="H15" s="772"/>
      <c r="I15" s="413"/>
      <c r="J15" s="878" t="s">
        <v>36</v>
      </c>
      <c r="Q15" s="411">
        <v>0</v>
      </c>
    </row>
    <row s="1614" customFormat="1" customHeight="1" ht="6.3">
      <c r="A16" s="787"/>
      <c r="B16" s="234"/>
      <c r="C16" s="235"/>
      <c r="D16" s="241"/>
      <c r="E16" s="239"/>
      <c r="F16" s="242"/>
      <c r="G16" s="79"/>
      <c r="H16" s="411"/>
      <c r="I16" s="413"/>
      <c r="J16" s="876"/>
      <c r="Q16" s="238">
        <v>6</v>
      </c>
    </row>
    <row customHeight="1" ht="21">
      <c r="D17" s="77"/>
      <c r="E17" s="393" t="s">
        <v>37</v>
      </c>
      <c r="F17" s="218" t="s">
        <v>38</v>
      </c>
      <c r="G17" s="75"/>
      <c r="H17" s="775" t="s">
        <v>23</v>
      </c>
      <c r="Q17" s="76">
        <v>20</v>
      </c>
    </row>
    <row customHeight="1" ht="25.5" hidden="1">
      <c r="D18" s="77"/>
      <c r="E18" s="1777" t="s">
        <v>39</v>
      </c>
      <c r="F18" s="1735"/>
      <c r="G18" s="75"/>
      <c r="I18" s="776"/>
      <c r="J18" s="2099" t="s">
        <v>40</v>
      </c>
      <c r="Q18" s="76">
        <v>0</v>
      </c>
    </row>
    <row customHeight="1" ht="25.5" hidden="1">
      <c r="D19" s="77"/>
      <c r="E19" s="1167"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5"/>
      <c r="G19" s="75"/>
      <c r="I19" s="776"/>
      <c r="J19" s="2099"/>
      <c r="Q19" s="76">
        <v>0</v>
      </c>
    </row>
    <row customHeight="1" ht="22.5" hidden="1">
      <c r="D20" s="77"/>
      <c r="E20" s="78"/>
      <c r="F20" s="272" t="str">
        <f>"Первичное "&amp;IF(TEMPLATE_GROUP="P","установление тарифов","предложение по тарифам")</f>
        <v>Первичное предложение по тарифам</v>
      </c>
      <c r="G20" s="75"/>
      <c r="I20" s="396"/>
      <c r="J20" s="877" t="s">
        <v>41</v>
      </c>
      <c r="Q20" s="76">
        <v>0</v>
      </c>
    </row>
    <row customHeight="1" ht="19.5" hidden="1">
      <c r="D21" s="77"/>
      <c r="E21" s="393" t="str">
        <f>"Дата "&amp;IF(TEMPLATE_GROUP="P","документа","подачи заявления")&amp;" об утверждении тарифов"</f>
        <v>Дата подачи заявления об утверждении тарифов</v>
      </c>
      <c r="F21" s="1734"/>
      <c r="G21" s="75"/>
      <c r="I21" s="777"/>
      <c r="Q21" s="76">
        <v>0</v>
      </c>
    </row>
    <row customHeight="1" ht="19.5" hidden="1">
      <c r="D22" s="77"/>
      <c r="E22" s="393" t="str">
        <f>"Номер "&amp;IF(TEMPLATE_GROUP="P","документа","подачи заявления")&amp;" об утверждении тарифов"</f>
        <v>Номер подачи заявления об утверждении тарифов</v>
      </c>
      <c r="F22" s="218"/>
      <c r="G22" s="75"/>
      <c r="I22" s="777"/>
      <c r="Q22" s="76">
        <v>0</v>
      </c>
    </row>
    <row customHeight="1" ht="22.5" hidden="1">
      <c r="D23" s="77"/>
      <c r="E23" s="393" t="s">
        <v>42</v>
      </c>
      <c r="F23" s="218"/>
      <c r="G23" s="75"/>
      <c r="Q23" s="76">
        <v>0</v>
      </c>
    </row>
    <row customHeight="1" ht="19.5" hidden="1">
      <c r="D24" s="77"/>
      <c r="E24" s="393" t="s">
        <v>43</v>
      </c>
      <c r="F24" s="218"/>
      <c r="G24" s="75"/>
      <c r="Q24" s="76">
        <v>0</v>
      </c>
    </row>
    <row customHeight="1" ht="22.5" hidden="1">
      <c r="D25" s="77"/>
      <c r="E25" s="78"/>
      <c r="F25" s="272" t="str">
        <f>"Изменение "&amp;IF(TEMPLATE_GROUP="P","тарифов","предложения по тарифам")</f>
        <v>Изменение предложения по тарифам</v>
      </c>
      <c r="G25" s="75"/>
      <c r="J25" s="877" t="s">
        <v>44</v>
      </c>
      <c r="Q25" s="76">
        <v>0</v>
      </c>
    </row>
    <row customHeight="1" ht="19.5" hidden="1">
      <c r="D26" s="77"/>
      <c r="E26" s="393" t="str">
        <f>"Дата "&amp;IF(TEMPLATE_GROUP="P","принятия решения","подачи заявления")&amp;" об изменении тарифов"</f>
        <v>Дата подачи заявления об изменении тарифов</v>
      </c>
      <c r="F26" s="1735"/>
      <c r="G26" s="75"/>
      <c r="Q26" s="76">
        <v>0</v>
      </c>
    </row>
    <row customHeight="1" ht="19.5" hidden="1">
      <c r="D27" s="77"/>
      <c r="E27" s="1167" t="str">
        <f>"Номер "&amp;IF(TEMPLATE_GROUP="P","принятия решения","заявления")&amp;" об изменении тарифов"</f>
        <v>Номер заявления об изменении тарифов</v>
      </c>
      <c r="F27" s="220"/>
      <c r="G27" s="75"/>
      <c r="Q27" s="76">
        <v>0</v>
      </c>
    </row>
    <row customHeight="1" ht="24.75" hidden="1">
      <c r="D28" s="77"/>
      <c r="E28" s="393" t="s">
        <v>45</v>
      </c>
      <c r="F28" s="220"/>
      <c r="G28" s="75"/>
      <c r="Q28" s="76">
        <v>0</v>
      </c>
    </row>
    <row customHeight="1" ht="19.5" hidden="1">
      <c r="D29" s="77"/>
      <c r="E29" s="393" t="s">
        <v>43</v>
      </c>
      <c r="F29" s="220"/>
      <c r="G29" s="75"/>
      <c r="Q29" s="76">
        <v>0</v>
      </c>
    </row>
    <row s="1614" customFormat="1" customHeight="1" ht="6.3">
      <c r="A30" s="787"/>
      <c r="B30" s="234"/>
      <c r="C30" s="235"/>
      <c r="D30" s="241"/>
      <c r="E30" s="239"/>
      <c r="F30" s="242"/>
      <c r="G30" s="79"/>
      <c r="H30" s="411"/>
      <c r="I30" s="413"/>
      <c r="J30" s="876"/>
      <c r="Q30" s="238">
        <v>6</v>
      </c>
    </row>
    <row customHeight="1" ht="21">
      <c r="C31" s="80"/>
      <c r="D31" s="81"/>
      <c r="E31" s="393" t="str">
        <f>"Наименование "&amp;IF(TEMPLATE_GROUP="ROIV","органа тарифного регулирования","ЮЛ / ИП")</f>
        <v>Наименование ЮЛ / ИП</v>
      </c>
      <c r="F31" s="219" t="s">
        <v>46</v>
      </c>
      <c r="G31" s="778"/>
      <c r="Q31" s="76">
        <v>20</v>
      </c>
    </row>
    <row customHeight="1" ht="21" hidden="1">
      <c r="C32" s="80"/>
      <c r="D32" s="81"/>
      <c r="E32" s="394" t="s">
        <v>47</v>
      </c>
      <c r="F32" s="219"/>
      <c r="G32" s="778"/>
      <c r="Q32" s="76">
        <v>20</v>
      </c>
    </row>
    <row customHeight="1" ht="21">
      <c r="C33" s="80"/>
      <c r="D33" s="81"/>
      <c r="E33" s="393" t="s">
        <v>48</v>
      </c>
      <c r="F33" s="219" t="s">
        <v>49</v>
      </c>
      <c r="G33" s="778"/>
      <c r="Q33" s="76">
        <v>20</v>
      </c>
    </row>
    <row customHeight="1" ht="21">
      <c r="C34" s="80"/>
      <c r="D34" s="81"/>
      <c r="E34" s="393" t="s">
        <v>50</v>
      </c>
      <c r="F34" s="219" t="s">
        <v>51</v>
      </c>
      <c r="G34" s="778"/>
      <c r="H34" s="82"/>
      <c r="Q34" s="76">
        <v>20</v>
      </c>
    </row>
    <row s="1614" customFormat="1" customHeight="1" ht="11.549999999999999">
      <c r="A35" s="787"/>
      <c r="B35" s="234"/>
      <c r="C35" s="235"/>
      <c r="D35" s="241"/>
      <c r="E35" s="239"/>
      <c r="F35" s="242"/>
      <c r="G35" s="79"/>
      <c r="H35" s="411"/>
      <c r="I35" s="413"/>
      <c r="J35" s="876"/>
      <c r="Q35" s="238">
        <v>11</v>
      </c>
    </row>
    <row customHeight="1" ht="19.5">
      <c r="A36" s="881"/>
      <c r="D36" s="81"/>
      <c r="E36" s="393" t="s">
        <v>52</v>
      </c>
      <c r="F36" s="1212" t="s">
        <v>53</v>
      </c>
      <c r="G36" s="79"/>
      <c r="Q36" s="76">
        <v>0</v>
      </c>
    </row>
    <row customHeight="1" ht="21">
      <c r="A37" s="881"/>
      <c r="D37" s="81"/>
      <c r="E37" s="393" t="s">
        <v>54</v>
      </c>
      <c r="F37" s="1212" t="s">
        <v>55</v>
      </c>
      <c r="G37" s="79"/>
      <c r="Q37" s="76">
        <v>20</v>
      </c>
    </row>
    <row s="1614" customFormat="1" customHeight="1" ht="6.3">
      <c r="A38" s="787"/>
      <c r="B38" s="234"/>
      <c r="C38" s="235"/>
      <c r="D38" s="236"/>
      <c r="E38" s="237"/>
      <c r="F38" s="1055"/>
      <c r="G38" s="75"/>
      <c r="H38" s="411"/>
      <c r="I38" s="413"/>
      <c r="J38" s="878"/>
      <c r="Q38" s="238">
        <v>6</v>
      </c>
    </row>
    <row customHeight="1" ht="36.75">
      <c r="A39" s="787"/>
      <c r="D39" s="77"/>
      <c r="E39" s="393" t="s">
        <v>56</v>
      </c>
      <c r="F39" s="712" t="s">
        <v>19</v>
      </c>
      <c r="G39" s="75"/>
      <c r="H39" s="775" t="s">
        <v>23</v>
      </c>
      <c r="Q39" s="76">
        <v>35</v>
      </c>
    </row>
    <row s="1614" customFormat="1" customHeight="1" ht="6" hidden="1">
      <c r="A40" s="786"/>
      <c r="B40" s="428"/>
      <c r="C40" s="429"/>
      <c r="D40" s="430"/>
      <c r="E40" s="431"/>
      <c r="F40" s="1055"/>
      <c r="G40" s="75"/>
      <c r="H40" s="411"/>
      <c r="I40" s="413"/>
      <c r="J40" s="878"/>
      <c r="Q40" s="432">
        <v>6</v>
      </c>
    </row>
    <row s="1637" customFormat="1" customHeight="1" ht="26.25" hidden="1">
      <c r="A41" s="790" t="s">
        <v>27</v>
      </c>
      <c r="B41" s="415"/>
      <c r="C41" s="410"/>
      <c r="D41" s="412"/>
      <c r="E41" s="393"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2" t="s">
        <v>19</v>
      </c>
      <c r="G41" s="75"/>
      <c r="I41" s="413"/>
      <c r="J41" s="878"/>
      <c r="Q41" s="411">
        <v>0</v>
      </c>
    </row>
    <row s="1614" customFormat="1" customHeight="1" ht="6" hidden="1">
      <c r="A42" s="786"/>
      <c r="B42" s="428"/>
      <c r="C42" s="429"/>
      <c r="D42" s="430"/>
      <c r="E42" s="431"/>
      <c r="F42" s="1055"/>
      <c r="G42" s="75"/>
      <c r="H42" s="411"/>
      <c r="I42" s="413"/>
      <c r="J42" s="876"/>
      <c r="Q42" s="432">
        <v>0</v>
      </c>
    </row>
    <row s="1637" customFormat="1" customHeight="1" ht="27" hidden="1">
      <c r="A43" s="786"/>
      <c r="B43" s="415"/>
      <c r="C43" s="410"/>
      <c r="D43" s="412"/>
      <c r="E43" s="393" t="s">
        <v>57</v>
      </c>
      <c r="F43" s="712" t="s">
        <v>19</v>
      </c>
      <c r="G43" s="75"/>
      <c r="I43" s="413"/>
      <c r="J43" s="878"/>
      <c r="Q43" s="411">
        <v>0</v>
      </c>
    </row>
    <row s="1637" customFormat="1" customHeight="1" ht="27" hidden="1">
      <c r="A44" s="786"/>
      <c r="B44" s="415"/>
      <c r="C44" s="410"/>
      <c r="D44" s="412"/>
      <c r="E44" s="1167" t="s">
        <v>58</v>
      </c>
      <c r="F44" s="1890"/>
      <c r="G44" s="75"/>
      <c r="I44" s="413"/>
      <c r="J44" s="878"/>
      <c r="Q44" s="411">
        <v>0</v>
      </c>
    </row>
    <row s="1614" customFormat="1" customHeight="1" ht="6" hidden="1">
      <c r="A45" s="786"/>
      <c r="B45" s="428"/>
      <c r="C45" s="429"/>
      <c r="D45" s="430"/>
      <c r="E45" s="431"/>
      <c r="F45" s="1055"/>
      <c r="G45" s="75"/>
      <c r="H45" s="411"/>
      <c r="I45" s="413"/>
      <c r="J45" s="878"/>
      <c r="Q45" s="432">
        <v>0</v>
      </c>
    </row>
    <row s="1614" customFormat="1" customHeight="1" ht="24.75" hidden="1">
      <c r="A46" s="786"/>
      <c r="B46" s="428"/>
      <c r="C46" s="429"/>
      <c r="D46" s="430"/>
      <c r="E46" s="1167" t="s">
        <v>59</v>
      </c>
      <c r="F46" s="712" t="s">
        <v>19</v>
      </c>
      <c r="G46" s="75"/>
      <c r="H46" s="411"/>
      <c r="I46" s="413"/>
      <c r="J46" s="878"/>
      <c r="Q46" s="432">
        <v>0</v>
      </c>
    </row>
    <row s="1637" customFormat="1" customHeight="1" ht="24.75" hidden="1">
      <c r="A47" s="786"/>
      <c r="B47" s="415"/>
      <c r="C47" s="410"/>
      <c r="D47" s="412"/>
      <c r="E47" s="1167" t="s">
        <v>60</v>
      </c>
      <c r="F47" s="712" t="s">
        <v>19</v>
      </c>
      <c r="G47" s="75"/>
      <c r="I47" s="413"/>
      <c r="J47" s="878"/>
      <c r="Q47" s="411">
        <v>0</v>
      </c>
    </row>
    <row s="1614" customFormat="1" customHeight="1" ht="6" hidden="1">
      <c r="A48" s="786"/>
      <c r="B48" s="234"/>
      <c r="C48" s="235"/>
      <c r="D48" s="236"/>
      <c r="E48" s="237"/>
      <c r="F48" s="1055"/>
      <c r="G48" s="75"/>
      <c r="H48" s="411"/>
      <c r="I48" s="413"/>
      <c r="J48" s="878"/>
      <c r="Q48" s="238">
        <v>0</v>
      </c>
    </row>
    <row customHeight="1" ht="29.25" hidden="1">
      <c r="B49" s="150"/>
      <c r="D49" s="77"/>
      <c r="E49" s="393"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2"/>
      <c r="G49" s="75"/>
      <c r="Q49" s="76">
        <v>0</v>
      </c>
    </row>
    <row s="1614" customFormat="1" customHeight="1" ht="6" hidden="1">
      <c r="A50" s="787"/>
      <c r="B50" s="428"/>
      <c r="C50" s="429"/>
      <c r="D50" s="241"/>
      <c r="E50" s="239"/>
      <c r="F50" s="242"/>
      <c r="G50" s="79"/>
      <c r="H50" s="411"/>
      <c r="I50" s="413"/>
      <c r="J50" s="878"/>
      <c r="Q50" s="432">
        <v>0</v>
      </c>
    </row>
    <row s="1637" customFormat="1" customHeight="1" ht="28.5" hidden="1">
      <c r="A51" s="788"/>
      <c r="B51" s="415"/>
      <c r="C51" s="532"/>
      <c r="D51" s="533"/>
      <c r="E51" s="393" t="s">
        <v>61</v>
      </c>
      <c r="F51" s="712" t="s">
        <v>19</v>
      </c>
      <c r="G51" s="534"/>
      <c r="I51" s="536"/>
      <c r="J51" s="880"/>
      <c r="P51" s="537"/>
      <c r="Q51" s="535">
        <v>0</v>
      </c>
    </row>
    <row s="1614" customFormat="1" customHeight="1" ht="6" hidden="1">
      <c r="A52" s="787"/>
      <c r="B52" s="428"/>
      <c r="C52" s="429"/>
      <c r="D52" s="241"/>
      <c r="E52" s="239"/>
      <c r="F52" s="242"/>
      <c r="G52" s="79"/>
      <c r="H52" s="411"/>
      <c r="I52" s="413"/>
      <c r="J52" s="876"/>
      <c r="Q52" s="432">
        <v>0</v>
      </c>
    </row>
    <row s="1637" customFormat="1" customHeight="1" ht="27" hidden="1">
      <c r="A53" s="788"/>
      <c r="B53" s="415"/>
      <c r="C53" s="532"/>
      <c r="D53" s="533"/>
      <c r="E53" s="393" t="s">
        <v>62</v>
      </c>
      <c r="F53" s="1050" t="s">
        <v>19</v>
      </c>
      <c r="G53" s="534"/>
      <c r="I53" s="536"/>
      <c r="J53" s="880"/>
      <c r="P53" s="537"/>
      <c r="Q53" s="535">
        <v>0</v>
      </c>
    </row>
    <row s="1637" customFormat="1" customHeight="1" ht="27" hidden="1">
      <c r="A54" s="788"/>
      <c r="B54" s="415"/>
      <c r="C54" s="532"/>
      <c r="D54" s="533"/>
      <c r="E54" s="393" t="s">
        <v>63</v>
      </c>
      <c r="F54" s="1776"/>
      <c r="G54" s="534"/>
      <c r="I54" s="536"/>
      <c r="J54" s="880"/>
      <c r="P54" s="537"/>
      <c r="Q54" s="535">
        <v>0</v>
      </c>
    </row>
    <row s="1614" customFormat="1" customHeight="1" ht="6" hidden="1">
      <c r="A55" s="787"/>
      <c r="B55" s="428"/>
      <c r="C55" s="429"/>
      <c r="D55" s="241"/>
      <c r="E55" s="239"/>
      <c r="F55" s="242"/>
      <c r="G55" s="79"/>
      <c r="H55" s="411"/>
      <c r="I55" s="413"/>
      <c r="J55" s="876"/>
      <c r="Q55" s="432">
        <v>0</v>
      </c>
    </row>
    <row s="1637" customFormat="1" customHeight="1" ht="25.5" hidden="1">
      <c r="A56" s="788"/>
      <c r="B56" s="415"/>
      <c r="C56" s="532"/>
      <c r="D56" s="533"/>
      <c r="E56" s="393" t="s">
        <v>64</v>
      </c>
      <c r="F56" s="1050" t="s">
        <v>19</v>
      </c>
      <c r="G56" s="534"/>
      <c r="I56" s="536"/>
      <c r="J56" s="880"/>
      <c r="P56" s="537"/>
      <c r="Q56" s="535">
        <v>0</v>
      </c>
    </row>
    <row s="1614" customFormat="1" customHeight="1" ht="6" hidden="1">
      <c r="A57" s="787"/>
      <c r="B57" s="428"/>
      <c r="C57" s="429"/>
      <c r="D57" s="241"/>
      <c r="E57" s="239"/>
      <c r="F57" s="242"/>
      <c r="G57" s="79"/>
      <c r="H57" s="411"/>
      <c r="I57" s="413"/>
      <c r="J57" s="876"/>
      <c r="Q57" s="432">
        <v>0</v>
      </c>
    </row>
    <row s="1637" customFormat="1" customHeight="1" ht="15" hidden="1">
      <c r="A58" s="788"/>
      <c r="B58" s="415"/>
      <c r="C58" s="532"/>
      <c r="D58" s="533"/>
      <c r="E58" s="393" t="s">
        <v>65</v>
      </c>
      <c r="F58" s="1050" t="s">
        <v>66</v>
      </c>
      <c r="G58" s="534"/>
      <c r="I58" s="536"/>
      <c r="J58" s="880"/>
      <c r="P58" s="537"/>
      <c r="Q58" s="535">
        <v>0</v>
      </c>
    </row>
    <row s="1637" customFormat="1" customHeight="1" ht="75" hidden="1">
      <c r="A59" s="788"/>
      <c r="B59" s="415"/>
      <c r="C59" s="532"/>
      <c r="D59" s="533"/>
      <c r="E59" s="393"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1"/>
      <c r="G59" s="534"/>
      <c r="I59" s="536"/>
      <c r="J59" s="880"/>
      <c r="P59" s="537"/>
      <c r="Q59" s="535">
        <v>0</v>
      </c>
    </row>
    <row s="1637" customFormat="1" customHeight="1" ht="15" hidden="1">
      <c r="A60" s="788"/>
      <c r="B60" s="415"/>
      <c r="C60" s="532"/>
      <c r="D60" s="533"/>
      <c r="E60" s="1167" t="s">
        <v>67</v>
      </c>
      <c r="F60" s="1153"/>
      <c r="G60" s="534"/>
      <c r="I60" s="536"/>
      <c r="J60" s="880"/>
      <c r="P60" s="537"/>
      <c r="Q60" s="535">
        <v>0</v>
      </c>
    </row>
    <row s="1614" customFormat="1" customHeight="1" ht="6" hidden="1">
      <c r="A61" s="787"/>
      <c r="B61" s="428"/>
      <c r="C61" s="429"/>
      <c r="D61" s="430"/>
      <c r="E61" s="431"/>
      <c r="F61" s="1055"/>
      <c r="G61" s="75"/>
      <c r="H61" s="411"/>
      <c r="I61" s="413"/>
      <c r="J61" s="878"/>
      <c r="Q61" s="432">
        <v>0</v>
      </c>
    </row>
    <row s="1637" customFormat="1" customHeight="1" ht="33.75" hidden="1">
      <c r="A62" s="787"/>
      <c r="B62" s="100"/>
      <c r="C62" s="410"/>
      <c r="D62" s="412"/>
      <c r="E62" s="1167" t="s">
        <v>68</v>
      </c>
      <c r="F62" s="1673" t="s">
        <v>66</v>
      </c>
      <c r="G62" s="75"/>
      <c r="H62" s="775" t="s">
        <v>23</v>
      </c>
      <c r="I62" s="413"/>
      <c r="J62" s="878"/>
      <c r="Q62" s="411">
        <v>0</v>
      </c>
    </row>
    <row s="1614" customFormat="1" customHeight="1" ht="6.3">
      <c r="A63" s="787"/>
      <c r="B63" s="234"/>
      <c r="C63" s="235"/>
      <c r="D63" s="241"/>
      <c r="E63" s="239"/>
      <c r="F63" s="242"/>
      <c r="G63" s="79"/>
      <c r="H63" s="411"/>
      <c r="I63" s="413"/>
      <c r="J63" s="876"/>
      <c r="Q63" s="238">
        <v>6</v>
      </c>
    </row>
    <row customHeight="1" ht="21">
      <c r="A64" s="789"/>
      <c r="B64" s="101"/>
      <c r="D64" s="84"/>
      <c r="E64" s="393" t="s">
        <v>69</v>
      </c>
      <c r="F64" s="218" t="s">
        <v>70</v>
      </c>
      <c r="G64" s="79"/>
      <c r="Q64" s="76">
        <v>20</v>
      </c>
    </row>
    <row customHeight="1" ht="21">
      <c r="A65" s="789"/>
      <c r="B65" s="101"/>
      <c r="D65" s="84"/>
      <c r="E65" s="393" t="s">
        <v>71</v>
      </c>
      <c r="F65" s="218" t="s">
        <v>72</v>
      </c>
      <c r="G65" s="79"/>
      <c r="Q65" s="76">
        <v>20</v>
      </c>
    </row>
    <row customHeight="1" ht="36.75">
      <c r="D66" s="77"/>
      <c r="E66" s="395" t="s">
        <v>73</v>
      </c>
      <c r="F66" s="1056"/>
      <c r="G66" s="75"/>
      <c r="Q66" s="76">
        <v>35</v>
      </c>
    </row>
    <row customHeight="1" ht="21">
      <c r="A67" s="789"/>
      <c r="D67" s="412"/>
      <c r="E67" s="393" t="s">
        <v>74</v>
      </c>
      <c r="F67" s="273" t="s">
        <v>75</v>
      </c>
      <c r="G67" s="79"/>
      <c r="Q67" s="76">
        <v>20</v>
      </c>
    </row>
    <row customHeight="1" ht="21">
      <c r="A68" s="789"/>
      <c r="B68" s="101"/>
      <c r="D68" s="84"/>
      <c r="E68" s="393" t="s">
        <v>76</v>
      </c>
      <c r="F68" s="273" t="s">
        <v>77</v>
      </c>
      <c r="G68" s="79"/>
      <c r="Q68" s="76">
        <v>20</v>
      </c>
    </row>
    <row customHeight="1" ht="21">
      <c r="A69" s="789"/>
      <c r="B69" s="101"/>
      <c r="D69" s="84"/>
      <c r="E69" s="393" t="s">
        <v>78</v>
      </c>
      <c r="F69" s="273" t="s">
        <v>79</v>
      </c>
      <c r="G69" s="79"/>
      <c r="Q69" s="76">
        <v>20</v>
      </c>
    </row>
    <row customHeight="1" ht="21">
      <c r="D70" s="412"/>
      <c r="E70" s="393" t="s">
        <v>80</v>
      </c>
      <c r="F70" s="2631" t="s">
        <v>81</v>
      </c>
      <c r="G70" s="75"/>
      <c r="Q70" s="76">
        <v>20</v>
      </c>
    </row>
    <row customHeight="1" ht="21">
      <c r="A71" s="789"/>
      <c r="D71" s="75"/>
      <c r="F71" s="135"/>
      <c r="G71" s="79"/>
      <c r="Q71" s="76">
        <v>20</v>
      </c>
    </row>
    <row customHeight="1" ht="21">
      <c r="A72" s="789"/>
      <c r="B72" s="101"/>
      <c r="D72" s="84"/>
      <c r="E72" s="83"/>
      <c r="F72" s="1035" t="s">
        <v>13</v>
      </c>
      <c r="G72" s="79"/>
      <c r="Q72" s="76">
        <v>20</v>
      </c>
    </row>
    <row customHeight="1" ht="21">
      <c r="A73" s="789"/>
      <c r="B73" s="101"/>
      <c r="D73" s="84"/>
      <c r="E73" s="83"/>
      <c r="F73" s="136"/>
      <c r="G73" s="79"/>
      <c r="Q73" s="76">
        <v>20</v>
      </c>
    </row>
    <row customHeight="1" ht="21">
      <c r="A74" s="789"/>
      <c r="B74" s="101"/>
      <c r="D74" s="84"/>
      <c r="E74" s="88"/>
      <c r="F74" s="136"/>
      <c r="G74" s="79"/>
      <c r="Q74" s="76">
        <v>20</v>
      </c>
    </row>
    <row customHeight="1" ht="21">
      <c r="A75" s="789"/>
      <c r="B75" s="101"/>
      <c r="D75" s="84"/>
      <c r="E75" s="83"/>
      <c r="F75" s="136"/>
      <c r="G75" s="79"/>
      <c r="Q75" s="76">
        <v>20</v>
      </c>
    </row>
    <row customHeight="1" ht="11.549999999999999">
      <c r="Q76" s="76">
        <v>11</v>
      </c>
    </row>
    <row customHeight="1" ht="11.549999999999999">
      <c r="Q77" s="76">
        <v>11</v>
      </c>
    </row>
    <row customHeight="1" ht="11.549999999999999">
      <c r="E78" s="392"/>
      <c r="F78" s="392"/>
      <c r="G78" s="392"/>
      <c r="H78" s="392"/>
      <c r="I78" s="392"/>
      <c r="Q78" s="76">
        <v>11</v>
      </c>
    </row>
    <row customHeight="1" ht="11.25" hidden="1">
      <c r="A79" s="786" t="s">
        <v>82</v>
      </c>
      <c r="B79" s="100">
        <v>0</v>
      </c>
      <c r="C79" s="74">
        <v>3</v>
      </c>
      <c r="D79" s="76">
        <v>1</v>
      </c>
      <c r="E79" s="76">
        <v>55</v>
      </c>
      <c r="F79" s="76">
        <v>54</v>
      </c>
      <c r="G79" s="773">
        <v>1</v>
      </c>
      <c r="H79" s="411">
        <v>0</v>
      </c>
      <c r="I79" s="413">
        <v>59</v>
      </c>
      <c r="J79" s="878">
        <v>0</v>
      </c>
      <c r="K79" s="76">
        <v>8</v>
      </c>
      <c r="L79" s="76">
        <v>77</v>
      </c>
      <c r="M79" s="76">
        <v>8</v>
      </c>
      <c r="N79" s="76">
        <v>8</v>
      </c>
      <c r="O79" s="76">
        <v>8</v>
      </c>
      <c r="P79" s="76">
        <v>8</v>
      </c>
      <c r="Q79" s="76">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6E1C2E99-40D3-1BAC-5FD4-697174026A65}"/>
    <hyperlink ref="H17" location="Титульный!H9" display="Как заполнить?" tooltip="Помощь по работе с полями отчётной формы" xr:uid="{5D871392-11D6-643F-251E-FCF26A62A0B9}"/>
    <hyperlink ref="H39" location="Титульный!H9" display="Как заполнить?" tooltip="Помощь по работе с полями отчётной формы" xr:uid="{AB5B795C-78EB-73A2-42F9-6D9E44A9120F}"/>
    <hyperlink ref="H62" location="Титульный!H9" display="Как заполнить?" tooltip="Помощь по работе с полями отчётной формы" xr:uid="{10525CCE-2B09-124F-6648-79A02AE20023}"/>
    <hyperlink ref="F70" r:id="rId4" xr:uid="{78A10479-F4C3-B69E-0C6D-5B7AF71142F6}"/>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25BDE1-498A-6C05-1CD4-8034D064537C}"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5.421875" customWidth="1"/>
    <col min="29" max="30" style="1637" width="3.00390625" customWidth="1"/>
    <col min="31" max="31" style="1637" width="24.00390625" customWidth="1"/>
    <col min="32" max="32" style="1637" width="3.7109375" customWidth="1"/>
    <col min="33" max="34" style="1637" width="3.00390625" customWidth="1"/>
    <col min="35" max="35" style="1637" width="24.00390625" customWidth="1"/>
    <col min="36" max="36" style="1637" width="3.7109375" customWidth="1"/>
    <col min="37" max="38" style="1637" width="3.00390625" customWidth="1"/>
    <col min="39" max="39" style="1637" width="18.00390625" customWidth="1"/>
    <col min="40" max="41" style="1637" width="21.00390625" customWidth="1"/>
    <col min="42" max="42" style="1637" width="11.00390625" customWidth="1"/>
    <col min="43" max="43" style="1637" width="3.7109375" customWidth="1"/>
    <col min="44" max="44" style="1637" width="11.00390625" customWidth="1"/>
    <col min="45" max="45" style="1637" width="8.57421875" hidden="1" customWidth="1"/>
    <col min="46" max="46" style="1637" width="4.00390625" customWidth="1"/>
    <col min="47" max="47" style="1637" width="115.00390625" customWidth="1"/>
    <col min="48" max="52" style="1644" width="10.00390625" customWidth="1"/>
    <col min="53" max="53" style="1637" width="10.57421875" hidden="1"/>
  </cols>
  <sheetData>
    <row customHeight="1" ht="22.5" hidden="1">
      <c r="W1" s="329"/>
      <c r="X1" s="329"/>
      <c r="AO1" s="329"/>
      <c r="AP1" s="329"/>
      <c r="BA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338">
        <f>INDEX(PT_DIFFERENTIATION_NUM_NTAR,MATCH(A2,PT_DIFFERENTIATION_NTAR_ID,0))</f>
      </c>
      <c r="T2" s="300" t="s">
        <v>125</v>
      </c>
      <c r="U2" s="302"/>
      <c r="V2" s="2245"/>
      <c r="W2" s="2245"/>
      <c r="X2" s="2245"/>
      <c r="Y2" s="2245"/>
      <c r="Z2" s="2245"/>
      <c r="AA2" s="2246"/>
      <c r="AB2" s="2244">
        <f>INDEX(PT_DIFFERENTIATION_NTAR,MATCH(A2,PT_DIFFERENTIATION_NTAR_ID,0))</f>
      </c>
      <c r="AC2" s="2245"/>
      <c r="AD2" s="2245"/>
      <c r="AE2" s="2245"/>
      <c r="AF2" s="2245"/>
      <c r="AG2" s="2245"/>
      <c r="AH2" s="2245"/>
      <c r="AI2" s="2245"/>
      <c r="AJ2" s="2245"/>
      <c r="AK2" s="2245"/>
      <c r="AL2" s="2245"/>
      <c r="AM2" s="2245"/>
      <c r="AN2" s="2245"/>
      <c r="AO2" s="2245"/>
      <c r="AP2" s="2245"/>
      <c r="AQ2" s="2245"/>
      <c r="AR2" s="2245"/>
      <c r="AS2" s="2245"/>
      <c r="AT2" s="2246"/>
      <c r="AU2" s="1260" t="s">
        <v>396</v>
      </c>
      <c r="AW2" s="502"/>
      <c r="AX2" s="502" t="str">
        <f>IF(T2="","",T2)</f>
        <v>Наименование тарифа</v>
      </c>
      <c r="AY2" s="502"/>
      <c r="AZ2" s="502"/>
      <c r="BA2" s="1157">
        <v>0</v>
      </c>
    </row>
    <row customHeight="1" ht="21" hidden="1">
      <c r="A3" s="1365"/>
      <c r="B3" s="1365"/>
      <c r="C3" s="1365"/>
      <c r="D3" s="1365"/>
      <c r="E3" s="2261"/>
      <c r="F3" s="2260">
        <v>1</v>
      </c>
      <c r="G3" s="1365"/>
      <c r="H3" s="1365"/>
      <c r="I3" s="1365"/>
      <c r="J3" s="1365"/>
      <c r="K3" s="1365"/>
      <c r="L3" s="1366"/>
      <c r="M3" s="1367"/>
      <c r="N3" s="1367"/>
      <c r="O3" s="1367"/>
      <c r="P3" s="1412"/>
      <c r="Q3" s="1413"/>
      <c r="R3" s="355"/>
      <c r="S3" s="1338">
        <f>INDEX(PT_DIFFERENTIATION_NUM_TER,MATCH(B3,PT_DIFFERENTIATION_TER_ID,0))</f>
      </c>
      <c r="T3" s="310" t="s">
        <v>397</v>
      </c>
      <c r="U3" s="302"/>
      <c r="V3" s="2245"/>
      <c r="W3" s="2245"/>
      <c r="X3" s="2245"/>
      <c r="Y3" s="2245"/>
      <c r="Z3" s="2245"/>
      <c r="AA3" s="2246"/>
      <c r="AB3" s="2244">
        <f>INDEX(PT_DIFFERENTIATION_TER,MATCH(B3,PT_DIFFERENTIATION_TER_ID,0))</f>
      </c>
      <c r="AC3" s="2245"/>
      <c r="AD3" s="2245"/>
      <c r="AE3" s="2245"/>
      <c r="AF3" s="2245"/>
      <c r="AG3" s="2245"/>
      <c r="AH3" s="2245"/>
      <c r="AI3" s="2245"/>
      <c r="AJ3" s="2245"/>
      <c r="AK3" s="2245"/>
      <c r="AL3" s="2245"/>
      <c r="AM3" s="2245"/>
      <c r="AN3" s="2245"/>
      <c r="AO3" s="2245"/>
      <c r="AP3" s="2245"/>
      <c r="AQ3" s="2245"/>
      <c r="AR3" s="2245"/>
      <c r="AS3" s="2245"/>
      <c r="AT3" s="2246"/>
      <c r="AU3" s="1260" t="s">
        <v>398</v>
      </c>
      <c r="AW3" s="502"/>
      <c r="AX3" s="502" t="str">
        <f>IF(T3="","",T3)</f>
        <v>Территория действия тарифа</v>
      </c>
      <c r="AY3" s="502"/>
      <c r="AZ3" s="502"/>
      <c r="BA3" s="1157">
        <v>0</v>
      </c>
    </row>
    <row customHeight="1" ht="22.5" hidden="1">
      <c r="A4" s="1365"/>
      <c r="B4" s="1365"/>
      <c r="C4" s="1365"/>
      <c r="D4" s="1365"/>
      <c r="E4" s="2261"/>
      <c r="F4" s="2261"/>
      <c r="G4" s="2260">
        <v>1</v>
      </c>
      <c r="H4" s="1365"/>
      <c r="I4" s="1365"/>
      <c r="J4" s="1365"/>
      <c r="K4" s="1365"/>
      <c r="L4" s="1366"/>
      <c r="M4" s="1367"/>
      <c r="N4" s="1367"/>
      <c r="O4" s="1367"/>
      <c r="P4" s="1414"/>
      <c r="Q4" s="1413"/>
      <c r="R4" s="355"/>
      <c r="S4" s="1338">
        <f>INDEX(PT_DIFFERENTIATION_NUM_CS,MATCH(C4,PT_DIFFERENTIATION_CS_ID,0))</f>
      </c>
      <c r="T4" s="311" t="s">
        <v>399</v>
      </c>
      <c r="U4" s="302"/>
      <c r="V4" s="2245"/>
      <c r="W4" s="2245"/>
      <c r="X4" s="2245"/>
      <c r="Y4" s="2245"/>
      <c r="Z4" s="2245"/>
      <c r="AA4" s="2246"/>
      <c r="AB4" s="2244">
        <f>INDEX(PT_DIFFERENTIATION_CS,MATCH(C4,PT_DIFFERENTIATION_CS_ID,0))</f>
      </c>
      <c r="AC4" s="2245"/>
      <c r="AD4" s="2245"/>
      <c r="AE4" s="2245"/>
      <c r="AF4" s="2245"/>
      <c r="AG4" s="2245"/>
      <c r="AH4" s="2245"/>
      <c r="AI4" s="2245"/>
      <c r="AJ4" s="2245"/>
      <c r="AK4" s="2245"/>
      <c r="AL4" s="2245"/>
      <c r="AM4" s="2245"/>
      <c r="AN4" s="2245"/>
      <c r="AO4" s="2245"/>
      <c r="AP4" s="2245"/>
      <c r="AQ4" s="2245"/>
      <c r="AR4" s="2245"/>
      <c r="AS4" s="2245"/>
      <c r="AT4" s="2246"/>
      <c r="AU4" s="1260" t="s">
        <v>400</v>
      </c>
      <c r="AW4" s="502"/>
      <c r="AX4" s="502" t="str">
        <f>IF(T4="","",T4)</f>
        <v>Наименование системы теплоснабжения </v>
      </c>
      <c r="AY4" s="502"/>
      <c r="AZ4" s="502"/>
      <c r="BA4" s="1157">
        <v>0</v>
      </c>
    </row>
    <row customHeight="1" ht="21" hidden="1">
      <c r="A5" s="1365"/>
      <c r="B5" s="1365"/>
      <c r="C5" s="1365"/>
      <c r="D5" s="1365"/>
      <c r="E5" s="2261"/>
      <c r="F5" s="2261"/>
      <c r="G5" s="2261"/>
      <c r="H5" s="2260">
        <v>1</v>
      </c>
      <c r="I5" s="1365"/>
      <c r="J5" s="1365"/>
      <c r="K5" s="1365"/>
      <c r="L5" s="1366"/>
      <c r="M5" s="1367"/>
      <c r="N5" s="1367"/>
      <c r="O5" s="1367"/>
      <c r="P5" s="1414"/>
      <c r="Q5" s="1413"/>
      <c r="R5" s="355"/>
      <c r="S5" s="1338">
        <f>INDEX(PT_DIFFERENTIATION_NUM_IST_TE,MATCH(D5,PT_DIFFERENTIATION_IST_TE_ID,0))</f>
      </c>
      <c r="T5" s="312" t="s">
        <v>401</v>
      </c>
      <c r="U5" s="302"/>
      <c r="V5" s="2245"/>
      <c r="W5" s="2245"/>
      <c r="X5" s="2245"/>
      <c r="Y5" s="2245"/>
      <c r="Z5" s="2245"/>
      <c r="AA5" s="2246"/>
      <c r="AB5" s="2244">
        <f>INDEX(PT_DIFFERENTIATION_IST_TE,MATCH(D5,PT_DIFFERENTIATION_IST_TE_ID,0))</f>
      </c>
      <c r="AC5" s="2245"/>
      <c r="AD5" s="2245"/>
      <c r="AE5" s="2245"/>
      <c r="AF5" s="2245"/>
      <c r="AG5" s="2245"/>
      <c r="AH5" s="2245"/>
      <c r="AI5" s="2245"/>
      <c r="AJ5" s="2245"/>
      <c r="AK5" s="2245"/>
      <c r="AL5" s="2245"/>
      <c r="AM5" s="2245"/>
      <c r="AN5" s="2245"/>
      <c r="AO5" s="2245"/>
      <c r="AP5" s="2245"/>
      <c r="AQ5" s="2245"/>
      <c r="AR5" s="2245"/>
      <c r="AS5" s="2245"/>
      <c r="AT5" s="2246"/>
      <c r="AU5" s="1260" t="s">
        <v>402</v>
      </c>
      <c r="AW5" s="502"/>
      <c r="AX5" s="502" t="str">
        <f>IF(T5="","",T5)</f>
        <v>Источник тепловой энергии  </v>
      </c>
      <c r="AY5" s="502"/>
      <c r="AZ5" s="502"/>
      <c r="BA5" s="1157">
        <v>0</v>
      </c>
    </row>
    <row s="1644" customFormat="1" customHeight="1" ht="0.75" hidden="1">
      <c r="A6" s="1345"/>
      <c r="B6" s="1345"/>
      <c r="C6" s="1345"/>
      <c r="D6" s="1345"/>
      <c r="E6" s="2261"/>
      <c r="F6" s="2261"/>
      <c r="G6" s="2261"/>
      <c r="H6" s="2261"/>
      <c r="I6" s="2258">
        <f>S5&amp;".1"</f>
      </c>
      <c r="J6" s="1345"/>
      <c r="K6" s="1345"/>
      <c r="L6" s="1348" t="s">
        <v>403</v>
      </c>
      <c r="M6" s="512"/>
      <c r="N6" s="512"/>
      <c r="O6" s="512"/>
      <c r="P6" s="2259">
        <v>1</v>
      </c>
      <c r="Q6" s="1333"/>
      <c r="R6" s="358"/>
      <c r="S6" s="1044"/>
      <c r="T6" s="1385"/>
      <c r="U6" s="1386"/>
      <c r="V6" s="2299"/>
      <c r="W6" s="2299"/>
      <c r="X6" s="2299"/>
      <c r="Y6" s="2299"/>
      <c r="Z6" s="2299"/>
      <c r="AA6" s="2300"/>
      <c r="AB6" s="2298"/>
      <c r="AC6" s="2299"/>
      <c r="AD6" s="2299"/>
      <c r="AE6" s="2299"/>
      <c r="AF6" s="2299"/>
      <c r="AG6" s="2299"/>
      <c r="AH6" s="2299"/>
      <c r="AI6" s="2299"/>
      <c r="AJ6" s="2299"/>
      <c r="AK6" s="2299"/>
      <c r="AL6" s="2299"/>
      <c r="AM6" s="2299"/>
      <c r="AN6" s="2299"/>
      <c r="AO6" s="2299"/>
      <c r="AP6" s="2299"/>
      <c r="AQ6" s="2299"/>
      <c r="AR6" s="2299"/>
      <c r="AS6" s="2299"/>
      <c r="AT6" s="2300"/>
      <c r="AU6" s="1387"/>
      <c r="AW6" s="502"/>
      <c r="AX6" s="502" t="str">
        <f>IF(T6="","",T6)</f>
        <v/>
      </c>
      <c r="AY6" s="502"/>
      <c r="AZ6" s="502"/>
      <c r="BA6" s="513">
        <v>0</v>
      </c>
    </row>
    <row s="1644" customFormat="1" customHeight="1" ht="0.75" hidden="1">
      <c r="A7" s="1345"/>
      <c r="B7" s="1345"/>
      <c r="C7" s="1345"/>
      <c r="D7" s="1345"/>
      <c r="E7" s="2261"/>
      <c r="F7" s="2261"/>
      <c r="G7" s="2261"/>
      <c r="H7" s="2261"/>
      <c r="I7" s="2288"/>
      <c r="J7" s="2258">
        <f>S5&amp;".1"</f>
      </c>
      <c r="K7" s="1345"/>
      <c r="L7" s="1348"/>
      <c r="M7" s="512"/>
      <c r="N7" s="512"/>
      <c r="O7" s="512"/>
      <c r="P7" s="2259"/>
      <c r="Q7" s="2259">
        <v>1</v>
      </c>
      <c r="R7" s="359"/>
      <c r="S7" s="1044"/>
      <c r="T7" s="1401"/>
      <c r="U7" s="1386"/>
      <c r="V7" s="2299"/>
      <c r="W7" s="2299"/>
      <c r="X7" s="2299"/>
      <c r="Y7" s="2299"/>
      <c r="Z7" s="2299"/>
      <c r="AA7" s="2300"/>
      <c r="AB7" s="2298"/>
      <c r="AC7" s="2299"/>
      <c r="AD7" s="2299"/>
      <c r="AE7" s="2299"/>
      <c r="AF7" s="2299"/>
      <c r="AG7" s="2299"/>
      <c r="AH7" s="2299"/>
      <c r="AI7" s="2299"/>
      <c r="AJ7" s="2299"/>
      <c r="AK7" s="2299"/>
      <c r="AL7" s="2299"/>
      <c r="AM7" s="2299"/>
      <c r="AN7" s="2299"/>
      <c r="AO7" s="2299"/>
      <c r="AP7" s="2299"/>
      <c r="AQ7" s="2299"/>
      <c r="AR7" s="2299"/>
      <c r="AS7" s="2299"/>
      <c r="AT7" s="2300"/>
      <c r="AU7" s="1387"/>
      <c r="AW7" s="502"/>
      <c r="AX7" s="502" t="str">
        <f>IF(T7="","",T7)</f>
        <v/>
      </c>
      <c r="AY7" s="502"/>
      <c r="AZ7" s="502"/>
      <c r="BA7" s="513">
        <v>0</v>
      </c>
    </row>
    <row customHeight="1" ht="21" hidden="1">
      <c r="A8" s="1365"/>
      <c r="B8" s="1365"/>
      <c r="C8" s="1365"/>
      <c r="D8" s="1365"/>
      <c r="E8" s="2261"/>
      <c r="F8" s="2261"/>
      <c r="G8" s="2261"/>
      <c r="H8" s="2261"/>
      <c r="I8" s="2288"/>
      <c r="J8" s="2288"/>
      <c r="K8" s="2258">
        <f>S5&amp;".1"</f>
      </c>
      <c r="L8" s="1366"/>
      <c r="P8" s="2259"/>
      <c r="Q8" s="2259"/>
      <c r="R8" s="2349">
        <v>1</v>
      </c>
      <c r="S8" s="2343">
        <f>$K8</f>
      </c>
      <c r="T8" s="2346"/>
      <c r="U8" s="302"/>
      <c r="V8" s="753"/>
      <c r="W8" s="1259"/>
      <c r="X8" s="2267"/>
      <c r="Y8" s="2109" t="s">
        <v>66</v>
      </c>
      <c r="Z8" s="2267"/>
      <c r="AA8" s="2109" t="s">
        <v>66</v>
      </c>
      <c r="AB8" s="2109" t="s">
        <v>19</v>
      </c>
      <c r="AC8" s="2328"/>
      <c r="AD8" s="2207">
        <v>1</v>
      </c>
      <c r="AE8" s="2329"/>
      <c r="AF8" s="2109" t="s">
        <v>19</v>
      </c>
      <c r="AG8" s="2328"/>
      <c r="AH8" s="2207">
        <v>1</v>
      </c>
      <c r="AI8" s="2329"/>
      <c r="AJ8" s="2109" t="s">
        <v>19</v>
      </c>
      <c r="AK8" s="313"/>
      <c r="AL8" s="1339">
        <v>1</v>
      </c>
      <c r="AM8" s="1400"/>
      <c r="AN8" s="753"/>
      <c r="AO8" s="1259"/>
      <c r="AP8" s="1736"/>
      <c r="AQ8" s="1461" t="s">
        <v>66</v>
      </c>
      <c r="AR8" s="1736"/>
      <c r="AS8" s="1461" t="s">
        <v>66</v>
      </c>
      <c r="AT8" s="1350"/>
      <c r="AU8" s="2255" t="s">
        <v>464</v>
      </c>
      <c r="AV8" s="513">
        <f>STRCHECKDATE(V11:AT11)</f>
      </c>
      <c r="AW8" s="502"/>
      <c r="AX8" s="502" t="str">
        <f>IF(T8="","",T8)</f>
        <v/>
      </c>
      <c r="AY8" s="502"/>
      <c r="AZ8" s="502"/>
      <c r="BA8" s="1157">
        <v>0</v>
      </c>
    </row>
    <row customHeight="1" ht="11.25" hidden="1">
      <c r="A9" s="1365"/>
      <c r="B9" s="1365"/>
      <c r="C9" s="1365"/>
      <c r="D9" s="1365"/>
      <c r="E9" s="2261"/>
      <c r="F9" s="2261"/>
      <c r="G9" s="2261"/>
      <c r="H9" s="2261"/>
      <c r="I9" s="2288"/>
      <c r="J9" s="2288"/>
      <c r="K9" s="2258"/>
      <c r="L9" s="1366"/>
      <c r="P9" s="2259"/>
      <c r="Q9" s="2259"/>
      <c r="R9" s="2349"/>
      <c r="S9" s="2344"/>
      <c r="T9" s="2347"/>
      <c r="U9" s="302"/>
      <c r="V9" s="1395"/>
      <c r="W9" s="1399"/>
      <c r="X9" s="2267"/>
      <c r="Y9" s="2109"/>
      <c r="Z9" s="2267"/>
      <c r="AA9" s="2109"/>
      <c r="AB9" s="2109"/>
      <c r="AC9" s="2328"/>
      <c r="AD9" s="2207"/>
      <c r="AE9" s="2329"/>
      <c r="AF9" s="2109"/>
      <c r="AG9" s="2328"/>
      <c r="AH9" s="2207"/>
      <c r="AI9" s="2329"/>
      <c r="AJ9" s="2109"/>
      <c r="AK9" s="318"/>
      <c r="AL9" s="418"/>
      <c r="AM9" s="417" t="s">
        <v>465</v>
      </c>
      <c r="AN9" s="1395"/>
      <c r="AO9" s="1498"/>
      <c r="AP9" s="1395"/>
      <c r="AQ9" s="1395"/>
      <c r="AR9" s="1395"/>
      <c r="AS9" s="1395"/>
      <c r="AT9" s="1392"/>
      <c r="AU9" s="2256"/>
      <c r="AW9" s="502"/>
      <c r="AX9" s="502"/>
      <c r="AY9" s="502"/>
      <c r="AZ9" s="502"/>
      <c r="BA9" s="1157">
        <v>0</v>
      </c>
    </row>
    <row customHeight="1" ht="11.25" hidden="1">
      <c r="A10" s="1365"/>
      <c r="B10" s="1365"/>
      <c r="C10" s="1365"/>
      <c r="D10" s="1365"/>
      <c r="E10" s="2261"/>
      <c r="F10" s="2261"/>
      <c r="G10" s="2261"/>
      <c r="H10" s="2261"/>
      <c r="I10" s="2288"/>
      <c r="J10" s="2288"/>
      <c r="K10" s="2258"/>
      <c r="L10" s="1366"/>
      <c r="P10" s="2259"/>
      <c r="Q10" s="2259"/>
      <c r="R10" s="2349"/>
      <c r="S10" s="2344"/>
      <c r="T10" s="2347"/>
      <c r="U10" s="302"/>
      <c r="V10" s="1395"/>
      <c r="W10" s="1399"/>
      <c r="X10" s="2267"/>
      <c r="Y10" s="2109"/>
      <c r="Z10" s="2267"/>
      <c r="AA10" s="2109"/>
      <c r="AB10" s="2109"/>
      <c r="AC10" s="2328"/>
      <c r="AD10" s="2207"/>
      <c r="AE10" s="2329"/>
      <c r="AF10" s="2109"/>
      <c r="AG10" s="296"/>
      <c r="AH10" s="417"/>
      <c r="AI10" s="417" t="s">
        <v>466</v>
      </c>
      <c r="AJ10" s="1395"/>
      <c r="AK10" s="1395"/>
      <c r="AL10" s="1395"/>
      <c r="AM10" s="1395"/>
      <c r="AN10" s="1395"/>
      <c r="AO10" s="1498"/>
      <c r="AP10" s="1395"/>
      <c r="AQ10" s="1395"/>
      <c r="AR10" s="1395"/>
      <c r="AS10" s="1395"/>
      <c r="AT10" s="1392"/>
      <c r="AU10" s="2256"/>
      <c r="AW10" s="502"/>
      <c r="AX10" s="502"/>
      <c r="AY10" s="502"/>
      <c r="AZ10" s="502"/>
      <c r="BA10" s="1157">
        <v>0</v>
      </c>
    </row>
    <row customHeight="1" ht="11.25" hidden="1">
      <c r="A11" s="1365"/>
      <c r="B11" s="1365"/>
      <c r="C11" s="1365"/>
      <c r="D11" s="1365"/>
      <c r="E11" s="2261"/>
      <c r="F11" s="2261"/>
      <c r="G11" s="2261"/>
      <c r="H11" s="2261"/>
      <c r="I11" s="2288"/>
      <c r="J11" s="2288"/>
      <c r="K11" s="2258"/>
      <c r="L11" s="1366"/>
      <c r="P11" s="2259"/>
      <c r="Q11" s="2259"/>
      <c r="R11" s="2349"/>
      <c r="S11" s="2345"/>
      <c r="T11" s="2348"/>
      <c r="U11" s="302"/>
      <c r="V11" s="1395"/>
      <c r="W11" s="1398" t="str">
        <f>X8&amp;"-"&amp;Z8</f>
        <v>-</v>
      </c>
      <c r="X11" s="2268"/>
      <c r="Y11" s="2109"/>
      <c r="Z11" s="2268"/>
      <c r="AA11" s="2109"/>
      <c r="AB11" s="2109"/>
      <c r="AC11" s="314"/>
      <c r="AD11" s="316"/>
      <c r="AE11" s="417" t="s">
        <v>467</v>
      </c>
      <c r="AF11" s="1395"/>
      <c r="AG11" s="1395"/>
      <c r="AH11" s="1395"/>
      <c r="AI11" s="1395"/>
      <c r="AJ11" s="1395"/>
      <c r="AK11" s="1395"/>
      <c r="AL11" s="1395"/>
      <c r="AM11" s="1395"/>
      <c r="AN11" s="1395"/>
      <c r="AO11" s="1396" t="str">
        <f>AP8&amp;"-"&amp;AR8</f>
        <v>-</v>
      </c>
      <c r="AP11" s="1395"/>
      <c r="AQ11" s="1395"/>
      <c r="AR11" s="1395"/>
      <c r="AS11" s="1395"/>
      <c r="AT11" s="1351"/>
      <c r="AU11" s="2256"/>
      <c r="AW11" s="502"/>
      <c r="AX11" s="502" t="str">
        <f>IF(T11="","",T11)</f>
        <v/>
      </c>
      <c r="AY11" s="502"/>
      <c r="AZ11" s="502"/>
      <c r="BA11" s="1157">
        <v>0</v>
      </c>
    </row>
    <row customHeight="1" ht="11.25" hidden="1">
      <c r="A12" s="1365"/>
      <c r="B12" s="1365"/>
      <c r="C12" s="1365"/>
      <c r="D12" s="1365"/>
      <c r="E12" s="2261"/>
      <c r="F12" s="2261"/>
      <c r="G12" s="2261"/>
      <c r="H12" s="2261"/>
      <c r="I12" s="2288"/>
      <c r="J12" s="2258"/>
      <c r="K12" s="1365"/>
      <c r="L12" s="1366"/>
      <c r="P12" s="2259"/>
      <c r="Q12" s="2259"/>
      <c r="R12" s="358"/>
      <c r="S12" s="1280"/>
      <c r="T12" s="289" t="s">
        <v>468</v>
      </c>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26"/>
      <c r="AU12" s="2257"/>
      <c r="AW12" s="502"/>
      <c r="AX12" s="502" t="str">
        <f>IF(T12="","",T12)</f>
        <v>Добавить строку</v>
      </c>
      <c r="AY12" s="502"/>
      <c r="AZ12" s="502"/>
      <c r="BA12" s="1157">
        <v>0</v>
      </c>
    </row>
    <row s="1644" customFormat="1" customHeight="1" ht="0.75" hidden="1">
      <c r="A13" s="1345"/>
      <c r="B13" s="1345"/>
      <c r="C13" s="1345"/>
      <c r="D13" s="1345"/>
      <c r="E13" s="2261"/>
      <c r="F13" s="2261"/>
      <c r="G13" s="2261"/>
      <c r="H13" s="2261"/>
      <c r="I13" s="2258"/>
      <c r="J13" s="1345"/>
      <c r="K13" s="1345"/>
      <c r="L13" s="1348"/>
      <c r="M13" s="512"/>
      <c r="N13" s="512"/>
      <c r="O13" s="512"/>
      <c r="P13" s="2259"/>
      <c r="Q13" s="1333"/>
      <c r="R13" s="358"/>
      <c r="S13" s="1388"/>
      <c r="T13" s="1389"/>
      <c r="U13" s="1390"/>
      <c r="V13" s="1390"/>
      <c r="W13" s="1390"/>
      <c r="X13" s="1390"/>
      <c r="Y13" s="1390"/>
      <c r="Z13" s="1390"/>
      <c r="AA13" s="1390"/>
      <c r="AB13" s="1390"/>
      <c r="AC13" s="1390"/>
      <c r="AD13" s="1390"/>
      <c r="AE13" s="1390"/>
      <c r="AF13" s="1390"/>
      <c r="AG13" s="1390"/>
      <c r="AH13" s="1390"/>
      <c r="AI13" s="1390"/>
      <c r="AJ13" s="1390"/>
      <c r="AK13" s="1390"/>
      <c r="AL13" s="1390"/>
      <c r="AM13" s="1390"/>
      <c r="AN13" s="1390"/>
      <c r="AO13" s="1390"/>
      <c r="AP13" s="1390"/>
      <c r="AQ13" s="1390"/>
      <c r="AR13" s="1390"/>
      <c r="AS13" s="1390"/>
      <c r="AT13" s="1390"/>
      <c r="AU13" s="1391"/>
      <c r="AW13" s="502"/>
      <c r="AX13" s="502" t="str">
        <f>IF(T13="","",T13)</f>
        <v/>
      </c>
      <c r="AY13" s="502"/>
      <c r="AZ13" s="502"/>
      <c r="BA13" s="513">
        <v>0</v>
      </c>
    </row>
    <row s="1644" customFormat="1" customHeight="1" ht="0.75" hidden="1">
      <c r="A14" s="1345"/>
      <c r="B14" s="1345"/>
      <c r="C14" s="1345"/>
      <c r="D14" s="1345"/>
      <c r="E14" s="2261"/>
      <c r="F14" s="2261"/>
      <c r="G14" s="2261"/>
      <c r="H14" s="2260"/>
      <c r="I14" s="1345"/>
      <c r="J14" s="1345"/>
      <c r="K14" s="1345"/>
      <c r="L14" s="1348"/>
      <c r="M14" s="1317"/>
      <c r="N14" s="1317"/>
      <c r="O14" s="520"/>
      <c r="P14" s="382"/>
      <c r="Q14" s="1346"/>
      <c r="R14" s="1403"/>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1"/>
      <c r="AW14" s="502"/>
      <c r="AX14" s="502" t="str">
        <f>IF(T14="","",T14)</f>
        <v/>
      </c>
      <c r="AY14" s="502"/>
      <c r="AZ14" s="502"/>
      <c r="BA14" s="513">
        <v>0</v>
      </c>
    </row>
    <row s="1644" customFormat="1" customHeight="1" ht="0.75" hidden="1">
      <c r="A15" s="1345"/>
      <c r="B15" s="1345"/>
      <c r="C15" s="1345"/>
      <c r="D15" s="1316"/>
      <c r="E15" s="2261"/>
      <c r="F15" s="2261"/>
      <c r="G15" s="2260"/>
      <c r="H15" s="1316"/>
      <c r="I15" s="1316"/>
      <c r="J15" s="1316"/>
      <c r="K15" s="1316"/>
      <c r="L15" s="1341"/>
      <c r="M15" s="1317"/>
      <c r="N15" s="1317"/>
      <c r="P15" s="1318"/>
      <c r="Q15" s="1319"/>
      <c r="R15" s="1318"/>
      <c r="S15" s="1324"/>
      <c r="T15" s="1327" t="s">
        <v>414</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1326"/>
      <c r="AT15" s="1326"/>
      <c r="AU15" s="1326"/>
      <c r="AW15" s="791"/>
      <c r="AX15" s="791" t="str">
        <f>IF(T15="","",T15)</f>
        <v>Добавить источник для дифференциации</v>
      </c>
      <c r="AY15" s="791"/>
      <c r="AZ15" s="791"/>
      <c r="BA15" s="520">
        <v>0</v>
      </c>
    </row>
    <row s="1644" customFormat="1" customHeight="1" ht="0.75" hidden="1">
      <c r="A16" s="1345"/>
      <c r="B16" s="1345"/>
      <c r="C16" s="1316"/>
      <c r="D16" s="1316"/>
      <c r="E16" s="2261"/>
      <c r="F16" s="2260"/>
      <c r="G16" s="1316"/>
      <c r="H16" s="1316"/>
      <c r="I16" s="1316"/>
      <c r="J16" s="1316"/>
      <c r="K16" s="1316"/>
      <c r="L16" s="1341"/>
      <c r="M16" s="1323"/>
      <c r="N16" s="1323"/>
      <c r="P16" s="1318"/>
      <c r="Q16" s="1319"/>
      <c r="R16" s="1318"/>
      <c r="S16" s="1324"/>
      <c r="T16" s="1327" t="s">
        <v>415</v>
      </c>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W16" s="791"/>
      <c r="AX16" s="791" t="str">
        <f>IF(T16="","",T16)</f>
        <v>Добавить централизованную систему для дифференциации</v>
      </c>
      <c r="AY16" s="791"/>
      <c r="AZ16" s="791"/>
      <c r="BA16" s="520">
        <v>0</v>
      </c>
    </row>
    <row s="1644" customFormat="1" customHeight="1" ht="0.75" hidden="1">
      <c r="A17" s="1345"/>
      <c r="B17" s="1345"/>
      <c r="C17" s="1345"/>
      <c r="D17" s="1345"/>
      <c r="E17" s="2260"/>
      <c r="F17" s="1345"/>
      <c r="G17" s="1345"/>
      <c r="H17" s="1345"/>
      <c r="I17" s="1345"/>
      <c r="J17" s="1345"/>
      <c r="K17" s="1345"/>
      <c r="L17" s="1348"/>
      <c r="M17" s="1323"/>
      <c r="N17" s="1323"/>
      <c r="O17" s="520"/>
      <c r="P17" s="382"/>
      <c r="Q17" s="1346"/>
      <c r="R17" s="382"/>
      <c r="S17" s="1324"/>
      <c r="T17" s="1327" t="s">
        <v>416</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W17" s="502"/>
      <c r="AX17" s="502" t="str">
        <f>IF(T17="","",T17)</f>
        <v>Добавить территорию для дифференциации</v>
      </c>
      <c r="AY17" s="502"/>
      <c r="AZ17" s="502"/>
      <c r="BA17" s="513">
        <v>0</v>
      </c>
    </row>
    <row customHeight="1" ht="14.25" hidden="1">
      <c r="AA18" s="329"/>
      <c r="AS18" s="329"/>
      <c r="BA18" s="1157">
        <v>0</v>
      </c>
    </row>
    <row customHeight="1" ht="14.25" hidden="1">
      <c r="AB19" s="1326" t="s">
        <v>19</v>
      </c>
      <c r="AC19" s="1503"/>
      <c r="AD19" s="550">
        <v>1</v>
      </c>
      <c r="AE19" s="1504"/>
      <c r="AF19" s="1326" t="s">
        <v>19</v>
      </c>
      <c r="AG19" s="1503"/>
      <c r="AH19" s="550">
        <v>1</v>
      </c>
      <c r="AI19" s="1504"/>
      <c r="AJ19" s="1326" t="s">
        <v>19</v>
      </c>
      <c r="AK19" s="1505"/>
      <c r="AL19" s="550">
        <v>1</v>
      </c>
      <c r="AM19" s="1508"/>
      <c r="AN19" s="1405"/>
      <c r="AO19" s="1406"/>
      <c r="AP19" s="1738"/>
      <c r="AQ19" s="1462" t="s">
        <v>66</v>
      </c>
      <c r="AR19" s="1738"/>
      <c r="AS19" s="1462" t="s">
        <v>66</v>
      </c>
      <c r="BA19" s="1157">
        <v>0</v>
      </c>
    </row>
    <row customHeight="1" ht="14.25" hidden="1">
      <c r="AV20" s="498"/>
      <c r="AW20" s="498"/>
      <c r="AX20" s="498"/>
      <c r="AY20" s="498"/>
      <c r="AZ20" s="498"/>
      <c r="BA20" s="1157">
        <v>0</v>
      </c>
    </row>
    <row customHeight="1" ht="14.25" hidden="1">
      <c r="O21" s="1369" t="s">
        <v>417</v>
      </c>
      <c r="X21" s="1347"/>
      <c r="Z21" s="1347"/>
      <c r="AA21" s="329"/>
      <c r="AP21" s="1347"/>
      <c r="AR21" s="1347"/>
      <c r="AS21" s="329"/>
      <c r="AV21" s="498"/>
      <c r="AW21" s="498"/>
      <c r="AX21" s="498"/>
      <c r="AY21" s="498"/>
      <c r="AZ21" s="498"/>
      <c r="BA21" s="1157">
        <v>0</v>
      </c>
    </row>
    <row customHeight="1" ht="14.25" hidden="1">
      <c r="AA22" s="329"/>
      <c r="AS22" s="329"/>
      <c r="AV22" s="498"/>
      <c r="AW22" s="498"/>
      <c r="AX22" s="498"/>
      <c r="AY22" s="498"/>
      <c r="AZ22" s="498"/>
      <c r="BA22" s="1157">
        <v>0</v>
      </c>
    </row>
    <row s="1511" customFormat="1" customHeight="1" ht="14.25" hidden="1">
      <c r="M23" s="1510"/>
      <c r="N23" s="1510"/>
      <c r="O23" s="1511" t="s">
        <v>418</v>
      </c>
      <c r="P23" s="1510"/>
      <c r="Q23" s="1512"/>
      <c r="R23" s="1512"/>
      <c r="Y23" s="1509" t="s">
        <v>420</v>
      </c>
      <c r="AA23" s="1509" t="s">
        <v>421</v>
      </c>
      <c r="AB23" s="1509" t="s">
        <v>469</v>
      </c>
      <c r="AE23" s="1509" t="s">
        <v>470</v>
      </c>
      <c r="AF23" s="1509" t="s">
        <v>469</v>
      </c>
      <c r="AI23" s="1509" t="s">
        <v>471</v>
      </c>
      <c r="AJ23" s="1509" t="s">
        <v>469</v>
      </c>
      <c r="AM23" s="1509" t="s">
        <v>472</v>
      </c>
      <c r="AQ23" s="1509" t="s">
        <v>420</v>
      </c>
      <c r="AS23" s="1509" t="s">
        <v>421</v>
      </c>
      <c r="AV23" s="1513"/>
      <c r="AW23" s="1513"/>
      <c r="AX23" s="1513"/>
      <c r="AY23" s="1513"/>
      <c r="AZ23" s="1513"/>
      <c r="BA23" s="1509">
        <v>0</v>
      </c>
    </row>
    <row customHeight="1" ht="14.25" hidden="1">
      <c r="O24" s="1366"/>
      <c r="AV24" s="498"/>
      <c r="AW24" s="498"/>
      <c r="AX24" s="498"/>
      <c r="AY24" s="498"/>
      <c r="AZ24" s="498"/>
      <c r="BA24" s="1157">
        <v>0</v>
      </c>
    </row>
    <row customHeight="1" ht="14.25" hidden="1">
      <c r="O25" s="1366"/>
      <c r="AV25" s="498"/>
      <c r="AW25" s="498"/>
      <c r="AX25" s="498"/>
      <c r="AY25" s="498"/>
      <c r="AZ25" s="498"/>
      <c r="BA25" s="1157">
        <v>0</v>
      </c>
    </row>
    <row customHeight="1" ht="14.699999999999998">
      <c r="Q26" s="293"/>
      <c r="R26" s="378"/>
      <c r="S26" s="1277"/>
      <c r="T26" s="365"/>
      <c r="U26" s="365"/>
      <c r="V26" s="511"/>
      <c r="W26" s="511"/>
      <c r="X26" s="511"/>
      <c r="Y26" s="511"/>
      <c r="Z26" s="511"/>
      <c r="AA26" s="511"/>
      <c r="AB26" s="511"/>
      <c r="AC26" s="511"/>
      <c r="AD26" s="511"/>
      <c r="AE26" s="511"/>
      <c r="AF26" s="511"/>
      <c r="AG26" s="511"/>
      <c r="AH26" s="511"/>
      <c r="AI26" s="511"/>
      <c r="AJ26" s="511"/>
      <c r="AK26" s="511"/>
      <c r="AL26" s="511"/>
      <c r="AM26" s="511"/>
      <c r="AN26" s="511"/>
      <c r="AO26" s="511"/>
      <c r="AP26" s="511"/>
      <c r="AQ26" s="511"/>
      <c r="AR26" s="511"/>
      <c r="AS26" s="511"/>
      <c r="BA26" s="1157">
        <v>14</v>
      </c>
    </row>
    <row customHeight="1" ht="27.299999999999997">
      <c r="Q27" s="293"/>
      <c r="R27" s="378"/>
      <c r="S27"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0"/>
      <c r="U27" s="2250"/>
      <c r="V27" s="2250"/>
      <c r="W27" s="2250"/>
      <c r="X27" s="2250"/>
      <c r="Y27" s="2250"/>
      <c r="Z27" s="2250"/>
      <c r="AA27" s="2250"/>
      <c r="AB27" s="2250"/>
      <c r="AC27" s="2250"/>
      <c r="AD27" s="2250"/>
      <c r="AE27" s="2250"/>
      <c r="AF27" s="2250"/>
      <c r="AG27" s="2250"/>
      <c r="AH27" s="2250"/>
      <c r="AI27" s="2250"/>
      <c r="AJ27" s="2250"/>
      <c r="AK27" s="2250"/>
      <c r="AL27" s="2250"/>
      <c r="AM27" s="2250"/>
      <c r="AN27" s="2250"/>
      <c r="AO27" s="2250"/>
      <c r="AP27" s="2250"/>
      <c r="AQ27" s="2250"/>
      <c r="AR27" s="2250"/>
      <c r="AS27" s="1245"/>
      <c r="BA27" s="1157">
        <v>26</v>
      </c>
    </row>
    <row customHeight="1" ht="14.699999999999998">
      <c r="Q28" s="293"/>
      <c r="R28" s="378"/>
      <c r="S28" s="2251" t="str">
        <f>IF(org=0,"Не определено",org)</f>
        <v>ПАО "ТГК-2"</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1245"/>
      <c r="BA28" s="1157">
        <v>14</v>
      </c>
    </row>
    <row customHeight="1" ht="14.25" hidden="1">
      <c r="Q29" s="293"/>
      <c r="R29" s="378"/>
      <c r="S29" s="1277"/>
      <c r="T29" s="365"/>
      <c r="U29" s="365"/>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511"/>
      <c r="BA29" s="1157">
        <v>0</v>
      </c>
    </row>
    <row s="1855" customFormat="1" customHeight="1" ht="25.5" hidden="1">
      <c r="A30" s="1370"/>
      <c r="B30" s="1370"/>
      <c r="C30" s="1370"/>
      <c r="D30" s="1370"/>
      <c r="E30" s="1370"/>
      <c r="F30" s="1370"/>
      <c r="G30" s="1370"/>
      <c r="H30" s="1370"/>
      <c r="I30" s="1370"/>
      <c r="J30" s="1370"/>
      <c r="K30" s="1370"/>
      <c r="L30" s="1371"/>
      <c r="M30" s="1370"/>
      <c r="N30" s="1370"/>
      <c r="O30" s="1370"/>
      <c r="P30" s="1370"/>
      <c r="Q30" s="1370"/>
      <c r="S30" s="2252" t="s">
        <v>42</v>
      </c>
      <c r="T30" s="2252"/>
      <c r="U30" s="1374"/>
      <c r="V30" s="2253" t="str">
        <f>IF(TITLE_NAME_OR_PR_CHANGE="",IF(TITLE_NAME_OR_PR="","",TITLE_NAME_OR_PR),TITLE_NAME_OR_PR_CHANGE)</f>
        <v/>
      </c>
      <c r="W30" s="2253"/>
      <c r="X30" s="2253"/>
      <c r="Y30" s="2253"/>
      <c r="Z30" s="2253"/>
      <c r="AA30" s="328"/>
      <c r="AB30" s="2253" t="str">
        <f>IF(TITLE_NAME_OR_PR_CHANGE="",IF(TITLE_NAME_OR_PR="","",TITLE_NAME_OR_PR),TITLE_NAME_OR_PR_CHANGE)</f>
        <v/>
      </c>
      <c r="AC30" s="2253"/>
      <c r="AD30" s="2253"/>
      <c r="AE30" s="2253"/>
      <c r="AF30" s="2253"/>
      <c r="AG30" s="2253"/>
      <c r="AH30" s="2253"/>
      <c r="AI30" s="2253"/>
      <c r="AJ30" s="2253"/>
      <c r="AK30" s="2253"/>
      <c r="AL30" s="2253"/>
      <c r="AM30" s="2253"/>
      <c r="AN30" s="2253"/>
      <c r="AO30" s="2253"/>
      <c r="AP30" s="2253"/>
      <c r="AQ30" s="2253"/>
      <c r="AR30" s="2253"/>
      <c r="AS30" s="328"/>
      <c r="AT30" s="328"/>
      <c r="AU30" s="282"/>
      <c r="AV30" s="370"/>
      <c r="AW30" s="370"/>
      <c r="AX30" s="370"/>
      <c r="AY30" s="370"/>
      <c r="AZ30" s="370"/>
      <c r="BA30" s="420">
        <v>0</v>
      </c>
    </row>
    <row s="1855" customFormat="1" customHeight="1" ht="18.75" hidden="1">
      <c r="A31" s="1370"/>
      <c r="B31" s="1370"/>
      <c r="C31" s="1370"/>
      <c r="D31" s="1370"/>
      <c r="E31" s="1370"/>
      <c r="F31" s="1370"/>
      <c r="G31" s="1370"/>
      <c r="H31" s="1370"/>
      <c r="I31" s="1370"/>
      <c r="J31" s="1370"/>
      <c r="K31" s="1370"/>
      <c r="L31" s="1371"/>
      <c r="M31" s="1370"/>
      <c r="N31" s="1370"/>
      <c r="O31" s="1370"/>
      <c r="P31" s="1370"/>
      <c r="Q31" s="1370"/>
      <c r="S31" s="2252" t="s">
        <v>423</v>
      </c>
      <c r="T31" s="2252"/>
      <c r="U31" s="1374"/>
      <c r="V31" s="2266" t="str">
        <f>IF(TITLE_DATE_PR_CHANGE="",IF(TITLE_DATE_PR="","",TITLE_DATE_PR),TITLE_DATE_PR_CHANGE)</f>
        <v/>
      </c>
      <c r="W31" s="2266"/>
      <c r="X31" s="2266"/>
      <c r="Y31" s="2266"/>
      <c r="Z31" s="2266"/>
      <c r="AA31" s="328"/>
      <c r="AB31" s="2266" t="str">
        <f>IF(TITLE_DATE_PR_CHANGE="",IF(TITLE_DATE_PR="","",TITLE_DATE_PR),TITLE_DATE_PR_CHANGE)</f>
        <v/>
      </c>
      <c r="AC31" s="2266"/>
      <c r="AD31" s="2266"/>
      <c r="AE31" s="2266"/>
      <c r="AF31" s="2266"/>
      <c r="AG31" s="2266"/>
      <c r="AH31" s="2266"/>
      <c r="AI31" s="2266"/>
      <c r="AJ31" s="2266"/>
      <c r="AK31" s="2266"/>
      <c r="AL31" s="2266"/>
      <c r="AM31" s="2266"/>
      <c r="AN31" s="2266"/>
      <c r="AO31" s="2266"/>
      <c r="AP31" s="2266"/>
      <c r="AQ31" s="2266"/>
      <c r="AR31" s="2266"/>
      <c r="AS31" s="328"/>
      <c r="AT31" s="328"/>
      <c r="AU31" s="282"/>
      <c r="AV31" s="370"/>
      <c r="AW31" s="370"/>
      <c r="AX31" s="370"/>
      <c r="AY31" s="370"/>
      <c r="AZ31" s="370"/>
      <c r="BA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424</v>
      </c>
      <c r="T32" s="2252"/>
      <c r="U32" s="1374"/>
      <c r="V32" s="2253" t="str">
        <f>IF(TITLE_NUMBER_PR_CHANGE="",IF(TITLE_NUMBER_PR="","",TITLE_NUMBER_PR),TITLE_NUMBER_PR_CHANGE)</f>
        <v/>
      </c>
      <c r="W32" s="2253"/>
      <c r="X32" s="2253"/>
      <c r="Y32" s="2253"/>
      <c r="Z32" s="2253"/>
      <c r="AA32" s="328"/>
      <c r="AB32" s="2253" t="str">
        <f>IF(TITLE_NUMBER_PR_CHANGE="",IF(TITLE_NUMBER_PR="","",TITLE_NUMBER_PR),TITLE_NUMBER_PR_CHANGE)</f>
        <v/>
      </c>
      <c r="AC32" s="2253"/>
      <c r="AD32" s="2253"/>
      <c r="AE32" s="2253"/>
      <c r="AF32" s="2253"/>
      <c r="AG32" s="2253"/>
      <c r="AH32" s="2253"/>
      <c r="AI32" s="2253"/>
      <c r="AJ32" s="2253"/>
      <c r="AK32" s="2253"/>
      <c r="AL32" s="2253"/>
      <c r="AM32" s="2253"/>
      <c r="AN32" s="2253"/>
      <c r="AO32" s="2253"/>
      <c r="AP32" s="2253"/>
      <c r="AQ32" s="2253"/>
      <c r="AR32" s="2253"/>
      <c r="AS32" s="328"/>
      <c r="AT32" s="328"/>
      <c r="AU32" s="282"/>
      <c r="AV32" s="370"/>
      <c r="AW32" s="370"/>
      <c r="AX32" s="370"/>
      <c r="AY32" s="370"/>
      <c r="AZ32" s="370"/>
      <c r="BA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43</v>
      </c>
      <c r="T33" s="2252"/>
      <c r="U33" s="1374"/>
      <c r="V33" s="2253" t="str">
        <f>IF(TITLE_IST_PUB_CHANGE="",IF(TITLE_IST_PUB="","",TITLE_IST_PUB),TITLE_IST_PUB_CHANGE)</f>
        <v/>
      </c>
      <c r="W33" s="2253"/>
      <c r="X33" s="2253"/>
      <c r="Y33" s="2253"/>
      <c r="Z33" s="2253"/>
      <c r="AA33" s="328"/>
      <c r="AB33" s="2253" t="str">
        <f>IF(TITLE_IST_PUB_CHANGE="",IF(TITLE_IST_PUB="","",TITLE_IST_PUB),TITLE_IST_PUB_CHANGE)</f>
        <v/>
      </c>
      <c r="AC33" s="2253"/>
      <c r="AD33" s="2253"/>
      <c r="AE33" s="2253"/>
      <c r="AF33" s="2253"/>
      <c r="AG33" s="2253"/>
      <c r="AH33" s="2253"/>
      <c r="AI33" s="2253"/>
      <c r="AJ33" s="2253"/>
      <c r="AK33" s="2253"/>
      <c r="AL33" s="2253"/>
      <c r="AM33" s="2253"/>
      <c r="AN33" s="2253"/>
      <c r="AO33" s="2253"/>
      <c r="AP33" s="2253"/>
      <c r="AQ33" s="2253"/>
      <c r="AR33" s="2253"/>
      <c r="AS33" s="328"/>
      <c r="AT33" s="328"/>
      <c r="AU33" s="282"/>
      <c r="AV33" s="370"/>
      <c r="AW33" s="370"/>
      <c r="AX33" s="370"/>
      <c r="AY33" s="370"/>
      <c r="AZ33" s="370"/>
      <c r="BA33" s="420">
        <v>0</v>
      </c>
    </row>
    <row customHeight="1" ht="14.25" hidden="1">
      <c r="Q34" s="293"/>
      <c r="R34" s="378"/>
      <c r="S34" s="1277"/>
      <c r="T34" s="365"/>
      <c r="U34" s="365"/>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511"/>
      <c r="BA34" s="1157">
        <v>0</v>
      </c>
    </row>
    <row s="1855" customFormat="1" customHeight="1" ht="18.75" hidden="1">
      <c r="A35" s="1370"/>
      <c r="B35" s="1370"/>
      <c r="C35" s="1370"/>
      <c r="D35" s="1370"/>
      <c r="E35" s="1370"/>
      <c r="F35" s="1370"/>
      <c r="G35" s="1370"/>
      <c r="H35" s="1370"/>
      <c r="I35" s="1370"/>
      <c r="J35" s="1370"/>
      <c r="K35" s="1370"/>
      <c r="L35" s="1371"/>
      <c r="M35" s="1370"/>
      <c r="N35" s="1370"/>
      <c r="O35" s="1370"/>
      <c r="P35" s="1370"/>
      <c r="Q35" s="1370"/>
      <c r="S35" s="2252" t="s">
        <v>423</v>
      </c>
      <c r="T35" s="2252"/>
      <c r="U35" s="1374"/>
      <c r="V35" s="2266" t="str">
        <f>IF(TITLE_DATE_PR_CHANGE="",IF(TITLE_DATE_PR="","",TITLE_DATE_PR),TITLE_DATE_PR_CHANGE)</f>
        <v/>
      </c>
      <c r="W35" s="2266"/>
      <c r="X35" s="2266"/>
      <c r="Y35" s="2266"/>
      <c r="Z35" s="2266"/>
      <c r="AA35" s="328"/>
      <c r="AB35" s="2266" t="str">
        <f>IF(TITLE_DATE_PR_CHANGE="",IF(TITLE_DATE_PR="","",TITLE_DATE_PR),TITLE_DATE_PR_CHANGE)</f>
        <v/>
      </c>
      <c r="AC35" s="2266"/>
      <c r="AD35" s="2266"/>
      <c r="AE35" s="2266"/>
      <c r="AF35" s="2266"/>
      <c r="AG35" s="2266"/>
      <c r="AH35" s="2266"/>
      <c r="AI35" s="2266"/>
      <c r="AJ35" s="2266"/>
      <c r="AK35" s="2266"/>
      <c r="AL35" s="2266"/>
      <c r="AM35" s="2266"/>
      <c r="AN35" s="2266"/>
      <c r="AO35" s="2266"/>
      <c r="AP35" s="2266"/>
      <c r="AQ35" s="2266"/>
      <c r="AR35" s="2266"/>
      <c r="AS35" s="328"/>
      <c r="AT35" s="328"/>
      <c r="AU35" s="282"/>
      <c r="AV35" s="370"/>
      <c r="AW35" s="370"/>
      <c r="AX35" s="370"/>
      <c r="AY35" s="370"/>
      <c r="AZ35" s="370"/>
      <c r="BA35" s="420">
        <v>0</v>
      </c>
    </row>
    <row s="1855" customFormat="1" customHeight="1" ht="18" hidden="1">
      <c r="A36" s="1370"/>
      <c r="B36" s="1370"/>
      <c r="C36" s="1370"/>
      <c r="D36" s="1370"/>
      <c r="E36" s="1370"/>
      <c r="F36" s="1370"/>
      <c r="G36" s="1370"/>
      <c r="H36" s="1370"/>
      <c r="I36" s="1370"/>
      <c r="J36" s="1370"/>
      <c r="K36" s="1370"/>
      <c r="L36" s="1371"/>
      <c r="M36" s="1370"/>
      <c r="N36" s="1370"/>
      <c r="O36" s="1370"/>
      <c r="P36" s="1370"/>
      <c r="Q36" s="1370"/>
      <c r="S36" s="2252" t="s">
        <v>424</v>
      </c>
      <c r="T36" s="2252"/>
      <c r="U36" s="1374"/>
      <c r="V36" s="2253" t="str">
        <f>IF(TITLE_NUMBER_PR_CHANGE="",IF(TITLE_NUMBER_PR="","",TITLE_NUMBER_PR),TITLE_NUMBER_PR_CHANGE)</f>
        <v/>
      </c>
      <c r="W36" s="2253"/>
      <c r="X36" s="2253"/>
      <c r="Y36" s="2253"/>
      <c r="Z36" s="2253"/>
      <c r="AA36" s="328"/>
      <c r="AB36" s="2253" t="str">
        <f>IF(TITLE_NUMBER_PR_CHANGE="",IF(TITLE_NUMBER_PR="","",TITLE_NUMBER_PR),TITLE_NUMBER_PR_CHANGE)</f>
        <v/>
      </c>
      <c r="AC36" s="2253"/>
      <c r="AD36" s="2253"/>
      <c r="AE36" s="2253"/>
      <c r="AF36" s="2253"/>
      <c r="AG36" s="2253"/>
      <c r="AH36" s="2253"/>
      <c r="AI36" s="2253"/>
      <c r="AJ36" s="2253"/>
      <c r="AK36" s="2253"/>
      <c r="AL36" s="2253"/>
      <c r="AM36" s="2253"/>
      <c r="AN36" s="2253"/>
      <c r="AO36" s="2253"/>
      <c r="AP36" s="2253"/>
      <c r="AQ36" s="2253"/>
      <c r="AR36" s="2253"/>
      <c r="AS36" s="328"/>
      <c r="AT36" s="328"/>
      <c r="AU36" s="282"/>
      <c r="AV36" s="370"/>
      <c r="AW36" s="370"/>
      <c r="AX36" s="370"/>
      <c r="AY36" s="370"/>
      <c r="AZ36" s="370"/>
      <c r="BA36" s="420">
        <v>0</v>
      </c>
    </row>
    <row s="1855" customFormat="1" customHeight="1" ht="1.05">
      <c r="A37" s="1370"/>
      <c r="B37" s="1370"/>
      <c r="C37" s="1370"/>
      <c r="D37" s="1370"/>
      <c r="E37" s="1370"/>
      <c r="F37" s="1370"/>
      <c r="G37" s="1370"/>
      <c r="H37" s="1370"/>
      <c r="I37" s="1370"/>
      <c r="J37" s="1370"/>
      <c r="K37" s="1370"/>
      <c r="L37" s="1371"/>
      <c r="M37" s="1370"/>
      <c r="N37" s="1370"/>
      <c r="O37" s="1370"/>
      <c r="P37" s="1370"/>
      <c r="Q37" s="1370"/>
      <c r="S37" s="325"/>
      <c r="T37" s="325"/>
      <c r="U37" s="1342"/>
      <c r="V37" s="328"/>
      <c r="W37" s="328"/>
      <c r="X37" s="328"/>
      <c r="Y37" s="328"/>
      <c r="Z37" s="328"/>
      <c r="AA37" s="280" t="s">
        <v>427</v>
      </c>
      <c r="AB37" s="328"/>
      <c r="AC37" s="328"/>
      <c r="AD37" s="328"/>
      <c r="AE37" s="328"/>
      <c r="AF37" s="328"/>
      <c r="AG37" s="328"/>
      <c r="AH37" s="328"/>
      <c r="AI37" s="328"/>
      <c r="AJ37" s="328"/>
      <c r="AK37" s="328"/>
      <c r="AL37" s="328"/>
      <c r="AM37" s="328"/>
      <c r="AN37" s="328"/>
      <c r="AO37" s="328"/>
      <c r="AP37" s="328"/>
      <c r="AQ37" s="328"/>
      <c r="AR37" s="328"/>
      <c r="AS37" s="280" t="s">
        <v>427</v>
      </c>
      <c r="AV37" s="370"/>
      <c r="AW37" s="370"/>
      <c r="AX37" s="370"/>
      <c r="AY37" s="370"/>
      <c r="AZ37" s="370"/>
      <c r="BA37" s="420">
        <v>1</v>
      </c>
    </row>
    <row customHeight="1" ht="14.699999999999998">
      <c r="Q38" s="293"/>
      <c r="R38" s="378"/>
      <c r="S38" s="1277"/>
      <c r="T38" s="365"/>
      <c r="U38" s="1246"/>
      <c r="V38" s="2254"/>
      <c r="W38" s="2254"/>
      <c r="X38" s="2254"/>
      <c r="Y38" s="2254"/>
      <c r="Z38" s="2254"/>
      <c r="AA38" s="2254"/>
      <c r="AB38" s="2254"/>
      <c r="AC38" s="2254"/>
      <c r="AD38" s="2254"/>
      <c r="AE38" s="2254"/>
      <c r="AF38" s="2254"/>
      <c r="AG38" s="2254"/>
      <c r="AH38" s="2254"/>
      <c r="AI38" s="2254"/>
      <c r="AJ38" s="2254"/>
      <c r="AK38" s="2254"/>
      <c r="AL38" s="2254"/>
      <c r="AM38" s="2254"/>
      <c r="AN38" s="2254"/>
      <c r="AO38" s="2254"/>
      <c r="AP38" s="2254"/>
      <c r="AQ38" s="2254"/>
      <c r="AR38" s="2254"/>
      <c r="AS38" s="2254"/>
      <c r="BA38" s="1157">
        <v>14</v>
      </c>
    </row>
    <row customHeight="1" ht="14.699999999999998">
      <c r="Q39" s="293"/>
      <c r="R39" s="378"/>
      <c r="S39" s="2129" t="s">
        <v>300</v>
      </c>
      <c r="T39" s="2129"/>
      <c r="U39" s="2129"/>
      <c r="V39" s="2129"/>
      <c r="W39" s="2129"/>
      <c r="X39" s="2129"/>
      <c r="Y39" s="2129"/>
      <c r="Z39" s="2129"/>
      <c r="AA39" s="2129"/>
      <c r="AB39" s="2177"/>
      <c r="AC39" s="2177"/>
      <c r="AD39" s="2177"/>
      <c r="AE39" s="2177"/>
      <c r="AF39" s="2129"/>
      <c r="AG39" s="2129"/>
      <c r="AH39" s="2129"/>
      <c r="AI39" s="2129"/>
      <c r="AJ39" s="2129"/>
      <c r="AK39" s="2129"/>
      <c r="AL39" s="2129"/>
      <c r="AM39" s="2129"/>
      <c r="AN39" s="2129"/>
      <c r="AO39" s="2129"/>
      <c r="AP39" s="2129"/>
      <c r="AQ39" s="2129"/>
      <c r="AR39" s="2129"/>
      <c r="AS39" s="2129"/>
      <c r="AT39" s="2129"/>
      <c r="AU39" s="2129" t="s">
        <v>301</v>
      </c>
      <c r="BA39" s="1157">
        <v>14</v>
      </c>
    </row>
    <row customHeight="1" ht="14.699999999999998">
      <c r="Q40" s="293"/>
      <c r="R40" s="378"/>
      <c r="S40" s="2275" t="s">
        <v>88</v>
      </c>
      <c r="T40" s="2211" t="s">
        <v>473</v>
      </c>
      <c r="U40" s="303"/>
      <c r="V40" s="2277"/>
      <c r="W40" s="2277"/>
      <c r="X40" s="2277"/>
      <c r="Y40" s="2277"/>
      <c r="Z40" s="2278"/>
      <c r="AA40" s="2338" t="s">
        <v>430</v>
      </c>
      <c r="AB40" s="2330" t="s">
        <v>474</v>
      </c>
      <c r="AC40" s="2293"/>
      <c r="AD40" s="2293"/>
      <c r="AE40" s="2331"/>
      <c r="AF40" s="2293" t="s">
        <v>475</v>
      </c>
      <c r="AG40" s="2293"/>
      <c r="AH40" s="2293"/>
      <c r="AI40" s="2331"/>
      <c r="AJ40" s="2330" t="s">
        <v>476</v>
      </c>
      <c r="AK40" s="2293"/>
      <c r="AL40" s="2293"/>
      <c r="AM40" s="2331"/>
      <c r="AN40" s="2330" t="s">
        <v>429</v>
      </c>
      <c r="AO40" s="2293"/>
      <c r="AP40" s="2277"/>
      <c r="AQ40" s="2277"/>
      <c r="AR40" s="2278"/>
      <c r="AS40" s="2279" t="s">
        <v>430</v>
      </c>
      <c r="AT40" s="2282" t="s">
        <v>432</v>
      </c>
      <c r="AU40" s="2129"/>
      <c r="BA40" s="1157">
        <v>14</v>
      </c>
    </row>
    <row customHeight="1" ht="35.699999999999996">
      <c r="Q41" s="293"/>
      <c r="R41" s="378"/>
      <c r="S41" s="2275"/>
      <c r="T41" s="2211"/>
      <c r="U41" s="1033"/>
      <c r="V41" s="2129" t="s">
        <v>477</v>
      </c>
      <c r="W41" s="2129"/>
      <c r="X41" s="2296" t="s">
        <v>436</v>
      </c>
      <c r="Y41" s="2315"/>
      <c r="Z41" s="2316"/>
      <c r="AA41" s="2339"/>
      <c r="AB41" s="2332"/>
      <c r="AC41" s="2333"/>
      <c r="AD41" s="2333"/>
      <c r="AE41" s="2334"/>
      <c r="AF41" s="2333"/>
      <c r="AG41" s="2333"/>
      <c r="AH41" s="2333"/>
      <c r="AI41" s="2334"/>
      <c r="AJ41" s="2332"/>
      <c r="AK41" s="2333"/>
      <c r="AL41" s="2333"/>
      <c r="AM41" s="2333"/>
      <c r="AN41" s="2129" t="s">
        <v>477</v>
      </c>
      <c r="AO41" s="2129"/>
      <c r="AP41" s="2315" t="s">
        <v>436</v>
      </c>
      <c r="AQ41" s="2315"/>
      <c r="AR41" s="2316"/>
      <c r="AS41" s="2280"/>
      <c r="AT41" s="2283"/>
      <c r="AU41" s="2129"/>
      <c r="BA41" s="1157">
        <v>34</v>
      </c>
    </row>
    <row customHeight="1" ht="14.699999999999998">
      <c r="Q42" s="293"/>
      <c r="R42" s="378"/>
      <c r="S42" s="2275"/>
      <c r="T42" s="2211"/>
      <c r="U42" s="1033"/>
      <c r="V42" s="2342" t="str">
        <f>IF($AN$42&lt;&gt;"",$AN$42,"")</f>
        <v/>
      </c>
      <c r="W42" s="2342"/>
      <c r="X42" s="2297"/>
      <c r="Y42" s="2317"/>
      <c r="Z42" s="2318"/>
      <c r="AA42" s="2339"/>
      <c r="AB42" s="2332"/>
      <c r="AC42" s="2333"/>
      <c r="AD42" s="2333"/>
      <c r="AE42" s="2334"/>
      <c r="AF42" s="2333"/>
      <c r="AG42" s="2333"/>
      <c r="AH42" s="2333"/>
      <c r="AI42" s="2334"/>
      <c r="AJ42" s="2332"/>
      <c r="AK42" s="2333"/>
      <c r="AL42" s="2333"/>
      <c r="AM42" s="2333"/>
      <c r="AN42" s="2341"/>
      <c r="AO42" s="2341"/>
      <c r="AP42" s="2317"/>
      <c r="AQ42" s="2317"/>
      <c r="AR42" s="2318"/>
      <c r="AS42" s="2280"/>
      <c r="AT42" s="2283"/>
      <c r="AU42" s="2129"/>
      <c r="BA42" s="1157">
        <v>14</v>
      </c>
    </row>
    <row customHeight="1" ht="14.699999999999998">
      <c r="A43" s="1372"/>
      <c r="B43" s="1372" t="s">
        <v>137</v>
      </c>
      <c r="C43" s="1372" t="s">
        <v>138</v>
      </c>
      <c r="D43" s="1372" t="s">
        <v>139</v>
      </c>
      <c r="E43" s="1366" t="s">
        <v>437</v>
      </c>
      <c r="F43" s="1366" t="s">
        <v>438</v>
      </c>
      <c r="G43" s="1366" t="s">
        <v>439</v>
      </c>
      <c r="H43" s="1366" t="s">
        <v>440</v>
      </c>
      <c r="I43" s="1366" t="s">
        <v>441</v>
      </c>
      <c r="J43" s="1366" t="s">
        <v>442</v>
      </c>
      <c r="K43" s="1366" t="s">
        <v>443</v>
      </c>
      <c r="L43" s="1366" t="s">
        <v>418</v>
      </c>
      <c r="Q43" s="293"/>
      <c r="R43" s="378"/>
      <c r="S43" s="2275"/>
      <c r="T43" s="2211"/>
      <c r="U43" s="304"/>
      <c r="V43" s="1332" t="s">
        <v>478</v>
      </c>
      <c r="W43" s="1332" t="s">
        <v>479</v>
      </c>
      <c r="X43" s="1340" t="s">
        <v>446</v>
      </c>
      <c r="Y43" s="2272" t="s">
        <v>447</v>
      </c>
      <c r="Z43" s="2273"/>
      <c r="AA43" s="2340"/>
      <c r="AB43" s="2335"/>
      <c r="AC43" s="2336"/>
      <c r="AD43" s="2336"/>
      <c r="AE43" s="2337"/>
      <c r="AF43" s="2336"/>
      <c r="AG43" s="2336"/>
      <c r="AH43" s="2336"/>
      <c r="AI43" s="2337"/>
      <c r="AJ43" s="2335"/>
      <c r="AK43" s="2336"/>
      <c r="AL43" s="2336"/>
      <c r="AM43" s="2337"/>
      <c r="AN43" s="1862" t="s">
        <v>478</v>
      </c>
      <c r="AO43" s="1862" t="s">
        <v>479</v>
      </c>
      <c r="AP43" s="1340" t="s">
        <v>446</v>
      </c>
      <c r="AQ43" s="2272" t="s">
        <v>447</v>
      </c>
      <c r="AR43" s="2273"/>
      <c r="AS43" s="2281"/>
      <c r="AT43" s="2284"/>
      <c r="AU43" s="2129"/>
      <c r="BA43" s="1157">
        <v>14</v>
      </c>
    </row>
    <row s="1643" customFormat="1" customHeight="1" ht="11.25" hidden="1">
      <c r="A44" s="1372"/>
      <c r="B44" s="1372"/>
      <c r="C44" s="1372"/>
      <c r="D44" s="1372"/>
      <c r="E44" s="1372"/>
      <c r="F44" s="1372"/>
      <c r="G44" s="1372"/>
      <c r="H44" s="1372"/>
      <c r="I44" s="1372"/>
      <c r="J44" s="1372"/>
      <c r="K44" s="1372"/>
      <c r="L44" s="1366"/>
      <c r="M44" s="1364"/>
      <c r="N44" s="1364"/>
      <c r="O44" s="1364"/>
      <c r="P44" s="512"/>
      <c r="Q44" s="1256"/>
      <c r="R44" s="1256">
        <v>1</v>
      </c>
      <c r="S44" s="1279" t="s">
        <v>109</v>
      </c>
      <c r="T44" s="1257" t="s">
        <v>110</v>
      </c>
      <c r="U44" s="1247" t="str">
        <f>OFFSET(U44,0,-1)</f>
        <v>2</v>
      </c>
      <c r="V44" s="1337">
        <f>OFFSET(V44,0,-1)+1</f>
        <v>3</v>
      </c>
      <c r="W44" s="1337">
        <f>OFFSET(W44,0,-1)+1</f>
        <v>4</v>
      </c>
      <c r="X44" s="1337">
        <f>OFFSET(X44,0,-1)+1</f>
        <v>5</v>
      </c>
      <c r="Y44" s="2274">
        <f>OFFSET(Y44,0,-1)+1</f>
        <v>6</v>
      </c>
      <c r="Z44" s="2274"/>
      <c r="AA44" s="1337">
        <f>OFFSET(AA44,0,-2)+1</f>
        <v>7</v>
      </c>
      <c r="AB44" s="1343">
        <f>OFFSET(AB44,0,-1)+1</f>
        <v>8</v>
      </c>
      <c r="AC44" s="1343"/>
      <c r="AD44" s="1343"/>
      <c r="AE44" s="1343"/>
      <c r="AF44" s="1337"/>
      <c r="AG44" s="1337"/>
      <c r="AH44" s="1337"/>
      <c r="AI44" s="1337"/>
      <c r="AJ44" s="1337"/>
      <c r="AK44" s="1337"/>
      <c r="AL44" s="1337"/>
      <c r="AM44" s="1337"/>
      <c r="AN44" s="1337">
        <f>OFFSET(AN44,0,-1)+1</f>
        <v>1</v>
      </c>
      <c r="AO44" s="1337">
        <f>OFFSET(AO44,0,-1)+1</f>
        <v>2</v>
      </c>
      <c r="AP44" s="1337">
        <f>OFFSET(AP44,0,-1)+1</f>
        <v>3</v>
      </c>
      <c r="AQ44" s="2274">
        <f>OFFSET(AQ44,0,-1)+1</f>
        <v>4</v>
      </c>
      <c r="AR44" s="2274"/>
      <c r="AS44" s="1337">
        <f>OFFSET(AS44,0,-2)+1</f>
        <v>5</v>
      </c>
      <c r="AT44" s="1247">
        <f>OFFSET(AT44,0,-1)</f>
        <v>5</v>
      </c>
      <c r="AU44" s="1337">
        <f>OFFSET(AU44,0,-1)+1</f>
        <v>6</v>
      </c>
      <c r="AV44" s="513"/>
      <c r="AW44" s="513"/>
      <c r="AX44" s="513"/>
      <c r="AY44" s="513"/>
      <c r="AZ44" s="513"/>
      <c r="BA44" s="498">
        <v>0</v>
      </c>
    </row>
    <row customHeight="1" ht="107.25">
      <c r="A45" s="1365" t="s">
        <v>200</v>
      </c>
      <c r="B45" s="1365"/>
      <c r="C45" s="1365"/>
      <c r="D45" s="1365"/>
      <c r="E45" s="2260">
        <v>1</v>
      </c>
      <c r="F45" s="1365"/>
      <c r="G45" s="1365"/>
      <c r="H45" s="1365"/>
      <c r="I45" s="1365"/>
      <c r="J45" s="1365"/>
      <c r="K45" s="1365"/>
      <c r="L45" s="1366"/>
      <c r="M45" s="1367"/>
      <c r="N45" s="1367"/>
      <c r="O45" s="1367"/>
      <c r="P45" s="1411"/>
      <c r="Q45" s="875"/>
      <c r="R45" s="357"/>
      <c r="S45" s="1338">
        <f>INDEX(PT_DIFFERENTIATION_NUM_NTAR,MATCH(A45,PT_DIFFERENTIATION_NTAR_ID,0))</f>
        <v>0</v>
      </c>
      <c r="T45" s="300" t="s">
        <v>125</v>
      </c>
      <c r="U45" s="302"/>
      <c r="V45" s="2245"/>
      <c r="W45" s="2245"/>
      <c r="X45" s="2245"/>
      <c r="Y45" s="2245"/>
      <c r="Z45" s="2245"/>
      <c r="AA45" s="2246"/>
      <c r="AB45" s="2244" t="str">
        <f>INDEX(PT_DIFFERENTIATION_NTAR,MATCH(A45,PT_DIFFERENTIATION_NTAR_ID,0))</f>
        <v/>
      </c>
      <c r="AC45" s="2245"/>
      <c r="AD45" s="2245"/>
      <c r="AE45" s="2245"/>
      <c r="AF45" s="2245"/>
      <c r="AG45" s="2245"/>
      <c r="AH45" s="2245"/>
      <c r="AI45" s="2245"/>
      <c r="AJ45" s="2245"/>
      <c r="AK45" s="2245"/>
      <c r="AL45" s="2245"/>
      <c r="AM45" s="2245"/>
      <c r="AN45" s="2245"/>
      <c r="AO45" s="2245"/>
      <c r="AP45" s="2245"/>
      <c r="AQ45" s="2245"/>
      <c r="AR45" s="2245"/>
      <c r="AS45" s="2245"/>
      <c r="AT45" s="2246"/>
      <c r="AU45"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2"/>
      <c r="AX45" s="502" t="str">
        <f>IF(T45="","",T45)</f>
        <v>Наименование тарифа</v>
      </c>
      <c r="AY45" s="502"/>
      <c r="AZ45" s="502"/>
      <c r="BA45" s="1157">
        <v>102</v>
      </c>
    </row>
    <row customHeight="1" ht="22.049999999999997">
      <c r="A46" s="1365" t="s">
        <v>200</v>
      </c>
      <c r="B46" s="1365" t="s">
        <v>201</v>
      </c>
      <c r="C46" s="1365"/>
      <c r="D46" s="1365"/>
      <c r="E46" s="2261"/>
      <c r="F46" s="2260">
        <v>1</v>
      </c>
      <c r="G46" s="1365"/>
      <c r="H46" s="1365"/>
      <c r="I46" s="1365"/>
      <c r="J46" s="1365"/>
      <c r="K46" s="1365"/>
      <c r="L46" s="1366"/>
      <c r="M46" s="1367"/>
      <c r="N46" s="1367"/>
      <c r="O46" s="1367"/>
      <c r="P46" s="1412"/>
      <c r="Q46" s="1413"/>
      <c r="R46" s="355"/>
      <c r="S46" s="1338" t="str">
        <f>INDEX(PT_DIFFERENTIATION_NUM_TER,MATCH(B46,PT_DIFFERENTIATION_TER_ID,0))</f>
        <v>.</v>
      </c>
      <c r="T46" s="310" t="s">
        <v>397</v>
      </c>
      <c r="U46" s="302"/>
      <c r="V46" s="2245"/>
      <c r="W46" s="2245"/>
      <c r="X46" s="2245"/>
      <c r="Y46" s="2245"/>
      <c r="Z46" s="2245"/>
      <c r="AA46" s="2246"/>
      <c r="AB46" s="2244" t="str">
        <f>INDEX(PT_DIFFERENTIATION_TER,MATCH(B46,PT_DIFFERENTIATION_TER_ID,0))</f>
        <v/>
      </c>
      <c r="AC46" s="2245"/>
      <c r="AD46" s="2245"/>
      <c r="AE46" s="2245"/>
      <c r="AF46" s="2245"/>
      <c r="AG46" s="2245"/>
      <c r="AH46" s="2245"/>
      <c r="AI46" s="2245"/>
      <c r="AJ46" s="2245"/>
      <c r="AK46" s="2245"/>
      <c r="AL46" s="2245"/>
      <c r="AM46" s="2245"/>
      <c r="AN46" s="2245"/>
      <c r="AO46" s="2245"/>
      <c r="AP46" s="2245"/>
      <c r="AQ46" s="2245"/>
      <c r="AR46" s="2245"/>
      <c r="AS46" s="2245"/>
      <c r="AT46" s="2246"/>
      <c r="AU46" s="1260" t="s">
        <v>398</v>
      </c>
      <c r="AW46" s="502"/>
      <c r="AX46" s="502" t="str">
        <f>IF(T46="","",T46)</f>
        <v>Территория действия тарифа</v>
      </c>
      <c r="AY46" s="502"/>
      <c r="AZ46" s="502"/>
      <c r="BA46" s="1157">
        <v>21</v>
      </c>
    </row>
    <row customHeight="1" ht="24">
      <c r="A47" s="1365" t="s">
        <v>200</v>
      </c>
      <c r="B47" s="1365" t="s">
        <v>201</v>
      </c>
      <c r="C47" s="1365" t="s">
        <v>202</v>
      </c>
      <c r="D47" s="1365"/>
      <c r="E47" s="2261"/>
      <c r="F47" s="2261"/>
      <c r="G47" s="2260">
        <v>1</v>
      </c>
      <c r="H47" s="1365"/>
      <c r="I47" s="1365"/>
      <c r="J47" s="1365"/>
      <c r="K47" s="1365"/>
      <c r="L47" s="1366"/>
      <c r="M47" s="1367"/>
      <c r="N47" s="1367"/>
      <c r="O47" s="1367"/>
      <c r="P47" s="1414"/>
      <c r="Q47" s="1413"/>
      <c r="R47" s="355"/>
      <c r="S47" s="1338" t="str">
        <f>INDEX(PT_DIFFERENTIATION_NUM_CS,MATCH(C47,PT_DIFFERENTIATION_CS_ID,0))</f>
        <v>..</v>
      </c>
      <c r="T47" s="311" t="s">
        <v>399</v>
      </c>
      <c r="U47" s="302"/>
      <c r="V47" s="2245"/>
      <c r="W47" s="2245"/>
      <c r="X47" s="2245"/>
      <c r="Y47" s="2245"/>
      <c r="Z47" s="2245"/>
      <c r="AA47" s="2246"/>
      <c r="AB47" s="2244" t="str">
        <f>INDEX(PT_DIFFERENTIATION_CS,MATCH(C47,PT_DIFFERENTIATION_CS_ID,0))</f>
        <v/>
      </c>
      <c r="AC47" s="2245"/>
      <c r="AD47" s="2245"/>
      <c r="AE47" s="2245"/>
      <c r="AF47" s="2245"/>
      <c r="AG47" s="2245"/>
      <c r="AH47" s="2245"/>
      <c r="AI47" s="2245"/>
      <c r="AJ47" s="2245"/>
      <c r="AK47" s="2245"/>
      <c r="AL47" s="2245"/>
      <c r="AM47" s="2245"/>
      <c r="AN47" s="2245"/>
      <c r="AO47" s="2245"/>
      <c r="AP47" s="2245"/>
      <c r="AQ47" s="2245"/>
      <c r="AR47" s="2245"/>
      <c r="AS47" s="2245"/>
      <c r="AT47" s="2246"/>
      <c r="AU47" s="1260" t="s">
        <v>400</v>
      </c>
      <c r="AW47" s="502"/>
      <c r="AX47" s="502" t="str">
        <f>IF(T47="","",T47)</f>
        <v>Наименование системы теплоснабжения </v>
      </c>
      <c r="AY47" s="502"/>
      <c r="AZ47" s="502"/>
      <c r="BA47" s="1157">
        <v>23</v>
      </c>
    </row>
    <row customHeight="1" ht="21">
      <c r="A48" s="1365" t="s">
        <v>200</v>
      </c>
      <c r="B48" s="1365" t="s">
        <v>201</v>
      </c>
      <c r="C48" s="1365" t="s">
        <v>202</v>
      </c>
      <c r="D48" s="1365" t="s">
        <v>203</v>
      </c>
      <c r="E48" s="2261"/>
      <c r="F48" s="2261"/>
      <c r="G48" s="2261"/>
      <c r="H48" s="2260">
        <v>1</v>
      </c>
      <c r="I48" s="1365"/>
      <c r="J48" s="1365"/>
      <c r="K48" s="1365"/>
      <c r="L48" s="1366"/>
      <c r="M48" s="1367"/>
      <c r="N48" s="1367"/>
      <c r="O48" s="1367"/>
      <c r="P48" s="1414"/>
      <c r="Q48" s="1413"/>
      <c r="R48" s="355"/>
      <c r="S48" s="1338" t="str">
        <f>INDEX(PT_DIFFERENTIATION_NUM_IST_TE,MATCH(D48,PT_DIFFERENTIATION_IST_TE_ID,0))</f>
        <v>...</v>
      </c>
      <c r="T48" s="312" t="s">
        <v>401</v>
      </c>
      <c r="U48" s="302"/>
      <c r="V48" s="2245"/>
      <c r="W48" s="2245"/>
      <c r="X48" s="2245"/>
      <c r="Y48" s="2245"/>
      <c r="Z48" s="2245"/>
      <c r="AA48" s="2246"/>
      <c r="AB48" s="2244" t="str">
        <f>INDEX(PT_DIFFERENTIATION_IST_TE,MATCH(D48,PT_DIFFERENTIATION_IST_TE_ID,0))</f>
        <v/>
      </c>
      <c r="AC48" s="2245"/>
      <c r="AD48" s="2245"/>
      <c r="AE48" s="2245"/>
      <c r="AF48" s="2245"/>
      <c r="AG48" s="2245"/>
      <c r="AH48" s="2245"/>
      <c r="AI48" s="2245"/>
      <c r="AJ48" s="2245"/>
      <c r="AK48" s="2245"/>
      <c r="AL48" s="2245"/>
      <c r="AM48" s="2245"/>
      <c r="AN48" s="2245"/>
      <c r="AO48" s="2245"/>
      <c r="AP48" s="2245"/>
      <c r="AQ48" s="2245"/>
      <c r="AR48" s="2245"/>
      <c r="AS48" s="2245"/>
      <c r="AT48" s="2246"/>
      <c r="AU48" s="1260" t="s">
        <v>402</v>
      </c>
      <c r="AW48" s="502"/>
      <c r="AX48" s="502" t="str">
        <f>IF(T48="","",T48)</f>
        <v>Источник тепловой энергии  </v>
      </c>
      <c r="AY48" s="502"/>
      <c r="AZ48" s="502"/>
      <c r="BA48" s="1157">
        <v>20</v>
      </c>
    </row>
    <row s="1644" customFormat="1" customHeight="1" ht="1.05">
      <c r="A49" s="1345" t="s">
        <v>200</v>
      </c>
      <c r="B49" s="1345" t="s">
        <v>201</v>
      </c>
      <c r="C49" s="1345" t="s">
        <v>202</v>
      </c>
      <c r="D49" s="1345" t="s">
        <v>203</v>
      </c>
      <c r="E49" s="2261"/>
      <c r="F49" s="2261"/>
      <c r="G49" s="2261"/>
      <c r="H49" s="2261"/>
      <c r="I49" s="2258" t="str">
        <f>S48&amp;".1"</f>
        <v>....1</v>
      </c>
      <c r="J49" s="1345"/>
      <c r="K49" s="1345"/>
      <c r="L49" s="1348" t="s">
        <v>403</v>
      </c>
      <c r="M49" s="512"/>
      <c r="N49" s="512"/>
      <c r="O49" s="512"/>
      <c r="P49" s="2259">
        <v>1</v>
      </c>
      <c r="Q49" s="1333"/>
      <c r="R49" s="358"/>
      <c r="S49" s="1044"/>
      <c r="T49" s="1385"/>
      <c r="U49" s="1386"/>
      <c r="V49" s="2299"/>
      <c r="W49" s="2299"/>
      <c r="X49" s="2299"/>
      <c r="Y49" s="2299"/>
      <c r="Z49" s="2299"/>
      <c r="AA49" s="2300"/>
      <c r="AB49" s="2298"/>
      <c r="AC49" s="2299"/>
      <c r="AD49" s="2299"/>
      <c r="AE49" s="2299"/>
      <c r="AF49" s="2299"/>
      <c r="AG49" s="2299"/>
      <c r="AH49" s="2299"/>
      <c r="AI49" s="2299"/>
      <c r="AJ49" s="2299"/>
      <c r="AK49" s="2299"/>
      <c r="AL49" s="2299"/>
      <c r="AM49" s="2299"/>
      <c r="AN49" s="2299"/>
      <c r="AO49" s="2299"/>
      <c r="AP49" s="2299"/>
      <c r="AQ49" s="2299"/>
      <c r="AR49" s="2299"/>
      <c r="AS49" s="2299"/>
      <c r="AT49" s="2300"/>
      <c r="AU49" s="1387"/>
      <c r="AW49" s="502"/>
      <c r="AX49" s="502" t="str">
        <f>IF(T49="","",T49)</f>
        <v/>
      </c>
      <c r="AY49" s="502"/>
      <c r="AZ49" s="502"/>
      <c r="BA49" s="513">
        <v>1</v>
      </c>
    </row>
    <row s="1644" customFormat="1" customHeight="1" ht="1.05">
      <c r="A50" s="1345" t="s">
        <v>200</v>
      </c>
      <c r="B50" s="1345" t="s">
        <v>201</v>
      </c>
      <c r="C50" s="1345" t="s">
        <v>202</v>
      </c>
      <c r="D50" s="1345" t="s">
        <v>203</v>
      </c>
      <c r="E50" s="2261"/>
      <c r="F50" s="2261"/>
      <c r="G50" s="2261"/>
      <c r="H50" s="2261"/>
      <c r="I50" s="2288"/>
      <c r="J50" s="2258" t="str">
        <f>S48&amp;".1"</f>
        <v>....1</v>
      </c>
      <c r="K50" s="1345"/>
      <c r="L50" s="1348"/>
      <c r="M50" s="512"/>
      <c r="N50" s="512"/>
      <c r="O50" s="512"/>
      <c r="P50" s="2259"/>
      <c r="Q50" s="2259">
        <v>1</v>
      </c>
      <c r="R50" s="359"/>
      <c r="S50" s="1044"/>
      <c r="T50" s="1401"/>
      <c r="U50" s="1386"/>
      <c r="V50" s="2299"/>
      <c r="W50" s="2299"/>
      <c r="X50" s="2299"/>
      <c r="Y50" s="2299"/>
      <c r="Z50" s="2299"/>
      <c r="AA50" s="2300"/>
      <c r="AB50" s="2298"/>
      <c r="AC50" s="2299"/>
      <c r="AD50" s="2299"/>
      <c r="AE50" s="2299"/>
      <c r="AF50" s="2299"/>
      <c r="AG50" s="2299"/>
      <c r="AH50" s="2299"/>
      <c r="AI50" s="2299"/>
      <c r="AJ50" s="2299"/>
      <c r="AK50" s="2299"/>
      <c r="AL50" s="2299"/>
      <c r="AM50" s="2299"/>
      <c r="AN50" s="2299"/>
      <c r="AO50" s="2299"/>
      <c r="AP50" s="2299"/>
      <c r="AQ50" s="2299"/>
      <c r="AR50" s="2299"/>
      <c r="AS50" s="2299"/>
      <c r="AT50" s="2300"/>
      <c r="AU50" s="1387"/>
      <c r="AW50" s="502"/>
      <c r="AX50" s="502" t="str">
        <f>IF(T50="","",T50)</f>
        <v/>
      </c>
      <c r="AY50" s="502"/>
      <c r="AZ50" s="502"/>
      <c r="BA50" s="513">
        <v>1</v>
      </c>
    </row>
    <row customHeight="1" ht="22.049999999999997">
      <c r="A51" s="1365" t="s">
        <v>200</v>
      </c>
      <c r="B51" s="1365" t="s">
        <v>201</v>
      </c>
      <c r="C51" s="1365" t="s">
        <v>202</v>
      </c>
      <c r="D51" s="1365" t="s">
        <v>203</v>
      </c>
      <c r="E51" s="2261"/>
      <c r="F51" s="2261"/>
      <c r="G51" s="2261"/>
      <c r="H51" s="2261"/>
      <c r="I51" s="2288"/>
      <c r="J51" s="2288"/>
      <c r="K51" s="2258" t="str">
        <f>S48&amp;".1"</f>
        <v>....1</v>
      </c>
      <c r="L51" s="1366"/>
      <c r="P51" s="2259"/>
      <c r="Q51" s="2259"/>
      <c r="R51" s="359">
        <v>1</v>
      </c>
      <c r="S51" s="2343" t="str">
        <f>$K51</f>
        <v>....1</v>
      </c>
      <c r="T51" s="2346"/>
      <c r="U51" s="302"/>
      <c r="V51" s="753"/>
      <c r="W51" s="1259"/>
      <c r="X51" s="1736"/>
      <c r="Y51" s="1461" t="s">
        <v>66</v>
      </c>
      <c r="Z51" s="1736"/>
      <c r="AA51" s="1461" t="s">
        <v>66</v>
      </c>
      <c r="AB51" s="2109" t="s">
        <v>19</v>
      </c>
      <c r="AC51" s="2328"/>
      <c r="AD51" s="2207">
        <v>1</v>
      </c>
      <c r="AE51" s="2350" t="s">
        <v>22</v>
      </c>
      <c r="AF51" s="2109" t="s">
        <v>19</v>
      </c>
      <c r="AG51" s="2328"/>
      <c r="AH51" s="2207">
        <v>1</v>
      </c>
      <c r="AI51" s="2350" t="s">
        <v>22</v>
      </c>
      <c r="AJ51" s="2109" t="s">
        <v>19</v>
      </c>
      <c r="AK51" s="313"/>
      <c r="AL51" s="1339">
        <v>1</v>
      </c>
      <c r="AM51" s="1404"/>
      <c r="AN51" s="753"/>
      <c r="AO51" s="1259"/>
      <c r="AP51" s="1736"/>
      <c r="AQ51" s="1461" t="s">
        <v>66</v>
      </c>
      <c r="AR51" s="1736"/>
      <c r="AS51" s="1461" t="s">
        <v>66</v>
      </c>
      <c r="AT51" s="1350"/>
      <c r="AU51" s="2255" t="s">
        <v>480</v>
      </c>
      <c r="AV51" s="513">
        <f>STRCHECKDATE(V54:AT54)</f>
      </c>
      <c r="AW51" s="502"/>
      <c r="AX51" s="502" t="str">
        <f>IF(T51="","",T51)</f>
        <v/>
      </c>
      <c r="AY51" s="502"/>
      <c r="AZ51" s="502"/>
      <c r="BA51" s="1157">
        <v>21</v>
      </c>
    </row>
    <row customHeight="1" ht="11.549999999999999">
      <c r="A52" s="1365" t="s">
        <v>200</v>
      </c>
      <c r="B52" s="1365"/>
      <c r="C52" s="1365"/>
      <c r="D52" s="1365"/>
      <c r="E52" s="2261"/>
      <c r="F52" s="2261"/>
      <c r="G52" s="2261"/>
      <c r="H52" s="2261"/>
      <c r="I52" s="2288"/>
      <c r="J52" s="2288"/>
      <c r="K52" s="2258"/>
      <c r="L52" s="1366"/>
      <c r="P52" s="2259"/>
      <c r="Q52" s="2259"/>
      <c r="R52" s="359"/>
      <c r="S52" s="2344"/>
      <c r="T52" s="2347"/>
      <c r="U52" s="302"/>
      <c r="V52" s="1395"/>
      <c r="W52" s="1498"/>
      <c r="X52" s="1395"/>
      <c r="Y52" s="1395"/>
      <c r="Z52" s="1395"/>
      <c r="AA52" s="1395"/>
      <c r="AB52" s="2109"/>
      <c r="AC52" s="2328"/>
      <c r="AD52" s="2207"/>
      <c r="AE52" s="2350"/>
      <c r="AF52" s="2109"/>
      <c r="AG52" s="2328"/>
      <c r="AH52" s="2207"/>
      <c r="AI52" s="2350"/>
      <c r="AJ52" s="2109"/>
      <c r="AK52" s="318"/>
      <c r="AL52" s="418"/>
      <c r="AM52" s="417" t="s">
        <v>465</v>
      </c>
      <c r="AN52" s="1395"/>
      <c r="AO52" s="1498"/>
      <c r="AP52" s="1395"/>
      <c r="AQ52" s="1395"/>
      <c r="AR52" s="1395"/>
      <c r="AS52" s="1395"/>
      <c r="AT52" s="1392"/>
      <c r="AU52" s="2256"/>
      <c r="AW52" s="502"/>
      <c r="AX52" s="502"/>
      <c r="AY52" s="502"/>
      <c r="AZ52" s="502"/>
      <c r="BA52" s="1157">
        <v>11</v>
      </c>
    </row>
    <row customHeight="1" ht="11.549999999999999">
      <c r="A53" s="1365" t="s">
        <v>200</v>
      </c>
      <c r="B53" s="1365"/>
      <c r="C53" s="1365"/>
      <c r="D53" s="1365"/>
      <c r="E53" s="2261"/>
      <c r="F53" s="2261"/>
      <c r="G53" s="2261"/>
      <c r="H53" s="2261"/>
      <c r="I53" s="2288"/>
      <c r="J53" s="2288"/>
      <c r="K53" s="2258"/>
      <c r="L53" s="1366"/>
      <c r="P53" s="2259"/>
      <c r="Q53" s="2259"/>
      <c r="R53" s="359"/>
      <c r="S53" s="2344"/>
      <c r="T53" s="2347"/>
      <c r="U53" s="302"/>
      <c r="V53" s="1395"/>
      <c r="W53" s="1498"/>
      <c r="X53" s="1395"/>
      <c r="Y53" s="1395"/>
      <c r="Z53" s="1395"/>
      <c r="AA53" s="1395"/>
      <c r="AB53" s="2109"/>
      <c r="AC53" s="2328"/>
      <c r="AD53" s="2207"/>
      <c r="AE53" s="2350"/>
      <c r="AF53" s="2109"/>
      <c r="AG53" s="296"/>
      <c r="AH53" s="417"/>
      <c r="AI53" s="417" t="s">
        <v>466</v>
      </c>
      <c r="AJ53" s="1395"/>
      <c r="AK53" s="1395"/>
      <c r="AL53" s="1395"/>
      <c r="AM53" s="1395"/>
      <c r="AN53" s="1395"/>
      <c r="AO53" s="1498"/>
      <c r="AP53" s="1395"/>
      <c r="AQ53" s="1395"/>
      <c r="AR53" s="1395"/>
      <c r="AS53" s="1395"/>
      <c r="AT53" s="1392"/>
      <c r="AU53" s="2256"/>
      <c r="AW53" s="502"/>
      <c r="AX53" s="502"/>
      <c r="AY53" s="502"/>
      <c r="AZ53" s="502"/>
      <c r="BA53" s="1157">
        <v>11</v>
      </c>
    </row>
    <row customHeight="1" ht="11.549999999999999">
      <c r="A54" s="1365" t="s">
        <v>200</v>
      </c>
      <c r="B54" s="1365" t="s">
        <v>201</v>
      </c>
      <c r="C54" s="1365" t="s">
        <v>202</v>
      </c>
      <c r="D54" s="1365" t="s">
        <v>203</v>
      </c>
      <c r="E54" s="2261"/>
      <c r="F54" s="2261"/>
      <c r="G54" s="2261"/>
      <c r="H54" s="2261"/>
      <c r="I54" s="2288"/>
      <c r="J54" s="2288"/>
      <c r="K54" s="2258"/>
      <c r="L54" s="1366"/>
      <c r="P54" s="2259"/>
      <c r="Q54" s="2259"/>
      <c r="R54" s="359"/>
      <c r="S54" s="2345"/>
      <c r="T54" s="2348"/>
      <c r="U54" s="302"/>
      <c r="V54" s="1395"/>
      <c r="W54" s="1396" t="str">
        <f>X51&amp;"-"&amp;Z51</f>
        <v>-</v>
      </c>
      <c r="X54" s="1395"/>
      <c r="Y54" s="1395"/>
      <c r="Z54" s="1395"/>
      <c r="AA54" s="1395"/>
      <c r="AB54" s="2109"/>
      <c r="AC54" s="314"/>
      <c r="AD54" s="316"/>
      <c r="AE54" s="417" t="s">
        <v>467</v>
      </c>
      <c r="AF54" s="1395"/>
      <c r="AG54" s="1395"/>
      <c r="AH54" s="1395"/>
      <c r="AI54" s="1395"/>
      <c r="AJ54" s="1395"/>
      <c r="AK54" s="1395"/>
      <c r="AL54" s="1395"/>
      <c r="AM54" s="1395"/>
      <c r="AN54" s="1395"/>
      <c r="AO54" s="1396" t="str">
        <f>AP51&amp;"-"&amp;AR51</f>
        <v>-</v>
      </c>
      <c r="AP54" s="1395"/>
      <c r="AQ54" s="1395"/>
      <c r="AR54" s="1395"/>
      <c r="AS54" s="1395"/>
      <c r="AT54" s="1351"/>
      <c r="AU54" s="2256"/>
      <c r="AW54" s="502"/>
      <c r="AX54" s="502" t="str">
        <f>IF(T54="","",T54)</f>
        <v/>
      </c>
      <c r="AY54" s="502"/>
      <c r="AZ54" s="502"/>
      <c r="BA54" s="1157">
        <v>11</v>
      </c>
    </row>
    <row customHeight="1" ht="11.549999999999999">
      <c r="A55" s="1365" t="s">
        <v>200</v>
      </c>
      <c r="B55" s="1365" t="s">
        <v>201</v>
      </c>
      <c r="C55" s="1365" t="s">
        <v>202</v>
      </c>
      <c r="D55" s="1365" t="s">
        <v>203</v>
      </c>
      <c r="E55" s="2261"/>
      <c r="F55" s="2261"/>
      <c r="G55" s="2261"/>
      <c r="H55" s="2261"/>
      <c r="I55" s="2288"/>
      <c r="J55" s="2258"/>
      <c r="K55" s="1365"/>
      <c r="L55" s="1366"/>
      <c r="P55" s="2259"/>
      <c r="Q55" s="2259"/>
      <c r="R55" s="358"/>
      <c r="S55" s="1280"/>
      <c r="T55" s="289" t="s">
        <v>468</v>
      </c>
      <c r="U55" s="369"/>
      <c r="V55" s="369"/>
      <c r="W55" s="369"/>
      <c r="X55" s="369"/>
      <c r="Y55" s="369"/>
      <c r="Z55" s="369"/>
      <c r="AA55" s="326"/>
      <c r="AB55" s="1507"/>
      <c r="AC55" s="369"/>
      <c r="AD55" s="369"/>
      <c r="AE55" s="369"/>
      <c r="AF55" s="369"/>
      <c r="AG55" s="369"/>
      <c r="AH55" s="369"/>
      <c r="AI55" s="369"/>
      <c r="AJ55" s="369"/>
      <c r="AK55" s="369"/>
      <c r="AL55" s="369"/>
      <c r="AM55" s="369"/>
      <c r="AN55" s="369"/>
      <c r="AO55" s="369"/>
      <c r="AP55" s="369"/>
      <c r="AQ55" s="369"/>
      <c r="AR55" s="369"/>
      <c r="AS55" s="369"/>
      <c r="AT55" s="326"/>
      <c r="AU55" s="2257"/>
      <c r="AW55" s="502"/>
      <c r="AX55" s="502" t="str">
        <f>IF(T55="","",T55)</f>
        <v>Добавить строку</v>
      </c>
      <c r="AY55" s="502"/>
      <c r="AZ55" s="502"/>
      <c r="BA55" s="1157">
        <v>11</v>
      </c>
    </row>
    <row s="1644" customFormat="1" customHeight="1" ht="1.05">
      <c r="A56" s="1345" t="s">
        <v>200</v>
      </c>
      <c r="B56" s="1345" t="s">
        <v>201</v>
      </c>
      <c r="C56" s="1345" t="s">
        <v>202</v>
      </c>
      <c r="D56" s="1345" t="s">
        <v>203</v>
      </c>
      <c r="E56" s="2261"/>
      <c r="F56" s="2261"/>
      <c r="G56" s="2261"/>
      <c r="H56" s="2261"/>
      <c r="I56" s="2258"/>
      <c r="J56" s="1345"/>
      <c r="K56" s="1345"/>
      <c r="L56" s="1348"/>
      <c r="M56" s="512"/>
      <c r="N56" s="512"/>
      <c r="O56" s="512"/>
      <c r="P56" s="2259"/>
      <c r="Q56" s="1333"/>
      <c r="R56" s="358"/>
      <c r="S56" s="1388"/>
      <c r="T56" s="1389" t="s">
        <v>412</v>
      </c>
      <c r="U56" s="1390"/>
      <c r="V56" s="1390"/>
      <c r="W56" s="1390"/>
      <c r="X56" s="1390"/>
      <c r="Y56" s="1390"/>
      <c r="Z56" s="1390"/>
      <c r="AA56" s="1390"/>
      <c r="AB56" s="1390"/>
      <c r="AC56" s="1390"/>
      <c r="AD56" s="1390"/>
      <c r="AE56" s="1390"/>
      <c r="AF56" s="1390"/>
      <c r="AG56" s="1390"/>
      <c r="AH56" s="1390"/>
      <c r="AI56" s="1390"/>
      <c r="AJ56" s="1390"/>
      <c r="AK56" s="1390"/>
      <c r="AL56" s="1390"/>
      <c r="AM56" s="1390"/>
      <c r="AN56" s="1390"/>
      <c r="AO56" s="1390"/>
      <c r="AP56" s="1390"/>
      <c r="AQ56" s="1390"/>
      <c r="AR56" s="1390"/>
      <c r="AS56" s="1390"/>
      <c r="AT56" s="1390"/>
      <c r="AU56" s="1391"/>
      <c r="AW56" s="502"/>
      <c r="AX56" s="502" t="str">
        <f>IF(T56="","",T56)</f>
        <v>Добавить группу потребителей</v>
      </c>
      <c r="AY56" s="502"/>
      <c r="AZ56" s="502"/>
      <c r="BA56" s="513">
        <v>1</v>
      </c>
    </row>
    <row s="1643" customFormat="1" customHeight="1" ht="1.05">
      <c r="A57" s="1345" t="s">
        <v>200</v>
      </c>
      <c r="B57" s="1345" t="s">
        <v>201</v>
      </c>
      <c r="C57" s="1345" t="s">
        <v>202</v>
      </c>
      <c r="D57" s="1345" t="s">
        <v>203</v>
      </c>
      <c r="E57" s="2261"/>
      <c r="F57" s="2261"/>
      <c r="G57" s="2261"/>
      <c r="H57" s="2260"/>
      <c r="I57" s="1345"/>
      <c r="J57" s="1345"/>
      <c r="K57" s="1345"/>
      <c r="L57" s="1348"/>
      <c r="M57" s="1317"/>
      <c r="N57" s="1317"/>
      <c r="O57" s="520"/>
      <c r="P57" s="382"/>
      <c r="Q57" s="1346"/>
      <c r="R57" s="1402"/>
      <c r="S57" s="1388"/>
      <c r="T57" s="1389"/>
      <c r="U57" s="1390"/>
      <c r="V57" s="1390"/>
      <c r="W57" s="1390"/>
      <c r="X57" s="1390"/>
      <c r="Y57" s="1390"/>
      <c r="Z57" s="1390"/>
      <c r="AA57" s="1390"/>
      <c r="AB57" s="1390"/>
      <c r="AC57" s="1390"/>
      <c r="AD57" s="1390"/>
      <c r="AE57" s="1390"/>
      <c r="AF57" s="1390"/>
      <c r="AG57" s="1390"/>
      <c r="AH57" s="1390"/>
      <c r="AI57" s="1390"/>
      <c r="AJ57" s="1390"/>
      <c r="AK57" s="1390"/>
      <c r="AL57" s="1390"/>
      <c r="AM57" s="1390"/>
      <c r="AN57" s="1390"/>
      <c r="AO57" s="1390"/>
      <c r="AP57" s="1390"/>
      <c r="AQ57" s="1390"/>
      <c r="AR57" s="1390"/>
      <c r="AS57" s="1390"/>
      <c r="AT57" s="1390"/>
      <c r="AU57" s="1391"/>
      <c r="AV57" s="513"/>
      <c r="AW57" s="502"/>
      <c r="AX57" s="502" t="str">
        <f>IF(T57="","",T57)</f>
        <v/>
      </c>
      <c r="AY57" s="502"/>
      <c r="AZ57" s="502"/>
      <c r="BA57" s="498">
        <v>1</v>
      </c>
    </row>
    <row s="1644" customFormat="1" customHeight="1" ht="1.05">
      <c r="A58" s="1345" t="s">
        <v>200</v>
      </c>
      <c r="B58" s="1345" t="s">
        <v>201</v>
      </c>
      <c r="C58" s="1345" t="s">
        <v>202</v>
      </c>
      <c r="D58" s="1316"/>
      <c r="E58" s="2261"/>
      <c r="F58" s="2261"/>
      <c r="G58" s="2260"/>
      <c r="H58" s="1316"/>
      <c r="I58" s="1316"/>
      <c r="J58" s="1316"/>
      <c r="K58" s="1316"/>
      <c r="L58" s="1341"/>
      <c r="M58" s="1317"/>
      <c r="N58" s="1317"/>
      <c r="P58" s="1318"/>
      <c r="Q58" s="1319"/>
      <c r="R58" s="1318"/>
      <c r="S58" s="1324"/>
      <c r="T58" s="1327" t="s">
        <v>414</v>
      </c>
      <c r="U58" s="1326"/>
      <c r="V58" s="1326"/>
      <c r="W58" s="1326"/>
      <c r="X58" s="1326"/>
      <c r="Y58" s="1326"/>
      <c r="Z58" s="1326"/>
      <c r="AA58" s="1326"/>
      <c r="AB58" s="1326"/>
      <c r="AC58" s="1326"/>
      <c r="AD58" s="1326"/>
      <c r="AE58" s="1326"/>
      <c r="AF58" s="1326"/>
      <c r="AG58" s="1326"/>
      <c r="AH58" s="1326"/>
      <c r="AI58" s="1326"/>
      <c r="AJ58" s="1326"/>
      <c r="AK58" s="1326"/>
      <c r="AL58" s="1326"/>
      <c r="AM58" s="1326"/>
      <c r="AN58" s="1326"/>
      <c r="AO58" s="1326"/>
      <c r="AP58" s="1326"/>
      <c r="AQ58" s="1326"/>
      <c r="AR58" s="1326"/>
      <c r="AS58" s="1326"/>
      <c r="AT58" s="1326"/>
      <c r="AU58" s="1326"/>
      <c r="AW58" s="791"/>
      <c r="AX58" s="791" t="str">
        <f>IF(T58="","",T58)</f>
        <v>Добавить источник для дифференциации</v>
      </c>
      <c r="AY58" s="791"/>
      <c r="AZ58" s="791"/>
      <c r="BA58" s="520">
        <v>1</v>
      </c>
    </row>
    <row s="1644" customFormat="1" customHeight="1" ht="1.05">
      <c r="A59" s="1345" t="s">
        <v>200</v>
      </c>
      <c r="B59" s="1345" t="s">
        <v>201</v>
      </c>
      <c r="C59" s="1316"/>
      <c r="D59" s="1316"/>
      <c r="E59" s="2261"/>
      <c r="F59" s="2260"/>
      <c r="G59" s="1316"/>
      <c r="H59" s="1316"/>
      <c r="I59" s="1316"/>
      <c r="J59" s="1316"/>
      <c r="K59" s="1316"/>
      <c r="L59" s="1341"/>
      <c r="M59" s="1323"/>
      <c r="N59" s="1323"/>
      <c r="P59" s="1318"/>
      <c r="Q59" s="1319"/>
      <c r="R59" s="1318"/>
      <c r="S59" s="1324"/>
      <c r="T59" s="1327" t="s">
        <v>415</v>
      </c>
      <c r="U59" s="1326"/>
      <c r="V59" s="1326"/>
      <c r="W59" s="1326"/>
      <c r="X59" s="1326"/>
      <c r="Y59" s="1326"/>
      <c r="Z59" s="1326"/>
      <c r="AA59" s="1326"/>
      <c r="AB59" s="1326"/>
      <c r="AC59" s="1326"/>
      <c r="AD59" s="1326"/>
      <c r="AE59" s="1326"/>
      <c r="AF59" s="1326"/>
      <c r="AG59" s="1326"/>
      <c r="AH59" s="1326"/>
      <c r="AI59" s="1326"/>
      <c r="AJ59" s="1326"/>
      <c r="AK59" s="1326"/>
      <c r="AL59" s="1326"/>
      <c r="AM59" s="1326"/>
      <c r="AN59" s="1326"/>
      <c r="AO59" s="1326"/>
      <c r="AP59" s="1326"/>
      <c r="AQ59" s="1326"/>
      <c r="AR59" s="1326"/>
      <c r="AS59" s="1326"/>
      <c r="AT59" s="1326"/>
      <c r="AU59" s="1326"/>
      <c r="AW59" s="791"/>
      <c r="AX59" s="791" t="str">
        <f>IF(T59="","",T59)</f>
        <v>Добавить централизованную систему для дифференциации</v>
      </c>
      <c r="AY59" s="791"/>
      <c r="AZ59" s="791"/>
      <c r="BA59" s="520">
        <v>1</v>
      </c>
    </row>
    <row s="1644" customFormat="1" customHeight="1" ht="1.05">
      <c r="A60" s="1345" t="s">
        <v>200</v>
      </c>
      <c r="B60" s="1345"/>
      <c r="C60" s="1345"/>
      <c r="D60" s="1345"/>
      <c r="E60" s="2261"/>
      <c r="F60" s="1345"/>
      <c r="G60" s="1345"/>
      <c r="H60" s="1345"/>
      <c r="I60" s="1345"/>
      <c r="J60" s="1345"/>
      <c r="K60" s="1345"/>
      <c r="L60" s="1348"/>
      <c r="M60" s="1323"/>
      <c r="N60" s="1323"/>
      <c r="O60" s="520"/>
      <c r="P60" s="382"/>
      <c r="Q60" s="1346"/>
      <c r="R60" s="382"/>
      <c r="S60" s="1324"/>
      <c r="T60" s="1327" t="s">
        <v>416</v>
      </c>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W60" s="502"/>
      <c r="AX60" s="502" t="str">
        <f>IF(T60="","",T60)</f>
        <v>Добавить территорию для дифференциации</v>
      </c>
      <c r="AY60" s="502"/>
      <c r="AZ60" s="502"/>
      <c r="BA60" s="513">
        <v>1</v>
      </c>
    </row>
    <row s="1644" customFormat="1" customHeight="1" ht="1.05">
      <c r="A61" s="1345" t="s">
        <v>200</v>
      </c>
      <c r="B61" s="1345"/>
      <c r="C61" s="1345"/>
      <c r="D61" s="1345"/>
      <c r="E61" s="2260"/>
      <c r="F61" s="1345"/>
      <c r="G61" s="1345"/>
      <c r="H61" s="1345"/>
      <c r="I61" s="1345"/>
      <c r="J61" s="1345"/>
      <c r="K61" s="1345"/>
      <c r="L61" s="1348"/>
      <c r="M61" s="1323"/>
      <c r="N61" s="1323"/>
      <c r="O61" s="520"/>
      <c r="P61" s="382"/>
      <c r="Q61" s="1346"/>
      <c r="R61" s="382"/>
      <c r="S61" s="1324"/>
      <c r="T61" s="1327" t="s">
        <v>416</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W61" s="502"/>
      <c r="AX61" s="502" t="str">
        <f>IF(T61="","",T61)</f>
        <v>Добавить территорию для дифференциации</v>
      </c>
      <c r="AY61" s="502"/>
      <c r="AZ61" s="502"/>
      <c r="BA61" s="513">
        <v>1</v>
      </c>
    </row>
    <row s="1644" customFormat="1" customHeight="1" ht="1.05">
      <c r="A62" s="1316"/>
      <c r="B62" s="1316"/>
      <c r="C62" s="1316"/>
      <c r="D62" s="1316"/>
      <c r="E62" s="1345"/>
      <c r="F62" s="1316"/>
      <c r="G62" s="1316"/>
      <c r="H62" s="1316"/>
      <c r="I62" s="1316"/>
      <c r="J62" s="1316"/>
      <c r="K62" s="1316"/>
      <c r="L62" s="1341"/>
      <c r="M62" s="1323"/>
      <c r="N62" s="1323"/>
      <c r="P62" s="1318"/>
      <c r="Q62" s="1319"/>
      <c r="R62" s="1318"/>
      <c r="S62" s="1324"/>
      <c r="T62" s="1327" t="s">
        <v>448</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W62" s="791"/>
      <c r="AX62" s="791" t="str">
        <f>IF(T62="","",T62)</f>
        <v>Добавить наименование тарифа</v>
      </c>
      <c r="AY62" s="791"/>
      <c r="AZ62" s="791"/>
      <c r="BA62" s="520">
        <v>1</v>
      </c>
    </row>
    <row customHeight="1" ht="11.549999999999999">
      <c r="M63" s="1162"/>
      <c r="N63" s="1162"/>
      <c r="O63" s="539"/>
      <c r="P63" s="1162"/>
      <c r="Q63" s="1162"/>
      <c r="R63" s="1157"/>
      <c r="S63" s="1157"/>
      <c r="AV63" s="1157"/>
      <c r="AW63" s="1157"/>
      <c r="AX63" s="1157"/>
      <c r="AY63" s="1157"/>
      <c r="AZ63" s="1157"/>
      <c r="BA63" s="1157">
        <v>11</v>
      </c>
    </row>
    <row customHeight="1" ht="19.9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N64" s="2287"/>
      <c r="AO64" s="2287"/>
      <c r="AP64" s="2287"/>
      <c r="AQ64" s="2287"/>
      <c r="AR64" s="2287"/>
      <c r="AS64" s="2287"/>
      <c r="AT64" s="2287"/>
      <c r="AU64" s="2287"/>
      <c r="BA64" s="1157">
        <v>19</v>
      </c>
    </row>
    <row customHeight="1" ht="21">
      <c r="O65" s="539"/>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BA65" s="1157">
        <v>20</v>
      </c>
    </row>
    <row customHeight="1" ht="14.699999999999998">
      <c r="O66" s="539"/>
      <c r="T66" s="1335"/>
      <c r="U66" s="1335"/>
      <c r="V66" s="1335"/>
      <c r="W66" s="1335"/>
      <c r="X66" s="1335"/>
      <c r="Y66" s="1335"/>
      <c r="Z66" s="1335"/>
      <c r="AA66" s="1335"/>
      <c r="AB66" s="1335"/>
      <c r="AC66" s="1335"/>
      <c r="AD66" s="1335"/>
      <c r="AE66" s="1335"/>
      <c r="AF66" s="1335"/>
      <c r="AG66" s="1335"/>
      <c r="AH66" s="1335"/>
      <c r="AI66" s="1335"/>
      <c r="AJ66" s="1335"/>
      <c r="AK66" s="1335"/>
      <c r="AL66" s="1335"/>
      <c r="AM66" s="1335"/>
      <c r="AN66" s="1335"/>
      <c r="AO66" s="1335"/>
      <c r="AP66" s="1335"/>
      <c r="AQ66" s="1335"/>
      <c r="AR66" s="1335"/>
      <c r="AS66" s="1335"/>
      <c r="AT66" s="1335"/>
      <c r="AU66" s="1335"/>
      <c r="BA66" s="1157">
        <v>14</v>
      </c>
    </row>
    <row customHeight="1" ht="19.95">
      <c r="O67" s="539"/>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BA67" s="1157">
        <v>19</v>
      </c>
    </row>
    <row customHeight="1" ht="16.8">
      <c r="O68" s="539"/>
      <c r="T68" s="2287"/>
      <c r="U68" s="2287"/>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R68" s="2287"/>
      <c r="AS68" s="2287"/>
      <c r="AT68" s="2287"/>
      <c r="AU68" s="2287"/>
      <c r="BA68" s="1157">
        <v>16</v>
      </c>
    </row>
    <row customHeight="1" ht="14.699999999999998">
      <c r="O69" s="539"/>
      <c r="BA69" s="1157">
        <v>14</v>
      </c>
    </row>
    <row customHeight="1" ht="22.5" hidden="1">
      <c r="A70" s="1162" t="s">
        <v>82</v>
      </c>
      <c r="B70" s="1162">
        <v>0</v>
      </c>
      <c r="C70" s="1162">
        <v>0</v>
      </c>
      <c r="D70" s="1162">
        <v>0</v>
      </c>
      <c r="E70" s="1162">
        <v>0</v>
      </c>
      <c r="F70" s="1162">
        <v>0</v>
      </c>
      <c r="G70" s="1162">
        <v>0</v>
      </c>
      <c r="H70" s="1162">
        <v>0</v>
      </c>
      <c r="I70" s="1162">
        <v>0</v>
      </c>
      <c r="J70" s="1162">
        <v>0</v>
      </c>
      <c r="K70" s="1162">
        <v>0</v>
      </c>
      <c r="L70" s="1331">
        <v>0</v>
      </c>
      <c r="M70" s="1364">
        <v>0</v>
      </c>
      <c r="N70" s="1364">
        <v>0</v>
      </c>
      <c r="O70" s="1364">
        <v>0</v>
      </c>
      <c r="P70" s="1364">
        <v>3</v>
      </c>
      <c r="Q70" s="1373">
        <v>3</v>
      </c>
      <c r="R70" s="346">
        <v>3</v>
      </c>
      <c r="S70" s="583">
        <v>12</v>
      </c>
      <c r="T70" s="1157">
        <v>31</v>
      </c>
      <c r="U70" s="1157">
        <v>0</v>
      </c>
      <c r="V70" s="1157">
        <v>0</v>
      </c>
      <c r="W70" s="1157">
        <v>0</v>
      </c>
      <c r="X70" s="1157">
        <v>0</v>
      </c>
      <c r="Y70" s="1157">
        <v>0</v>
      </c>
      <c r="Z70" s="1157">
        <v>0</v>
      </c>
      <c r="AA70" s="1157">
        <v>0</v>
      </c>
      <c r="AB70" s="1157">
        <v>5</v>
      </c>
      <c r="AC70" s="1157">
        <v>3</v>
      </c>
      <c r="AD70" s="1157">
        <v>3</v>
      </c>
      <c r="AE70" s="1157">
        <v>24</v>
      </c>
      <c r="AF70" s="1157">
        <v>3</v>
      </c>
      <c r="AG70" s="1157">
        <v>3</v>
      </c>
      <c r="AH70" s="1157">
        <v>3</v>
      </c>
      <c r="AI70" s="1157">
        <v>24</v>
      </c>
      <c r="AJ70" s="1157">
        <v>3</v>
      </c>
      <c r="AK70" s="1157">
        <v>3</v>
      </c>
      <c r="AL70" s="1157">
        <v>3</v>
      </c>
      <c r="AM70" s="1157">
        <v>18</v>
      </c>
      <c r="AN70" s="1157">
        <v>21</v>
      </c>
      <c r="AO70" s="1157">
        <v>21</v>
      </c>
      <c r="AP70" s="1157">
        <v>11</v>
      </c>
      <c r="AQ70" s="1157">
        <v>3</v>
      </c>
      <c r="AR70" s="1157">
        <v>11</v>
      </c>
      <c r="AS70" s="1157">
        <v>8</v>
      </c>
      <c r="AT70" s="1157">
        <v>4</v>
      </c>
      <c r="AU70" s="1157">
        <v>115</v>
      </c>
      <c r="AV70" s="513">
        <v>10</v>
      </c>
      <c r="AW70" s="513">
        <v>10</v>
      </c>
      <c r="AX70" s="513">
        <v>10</v>
      </c>
      <c r="AY70" s="513">
        <v>10</v>
      </c>
      <c r="AZ70" s="513">
        <v>10</v>
      </c>
      <c r="BA70" s="1157">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C13B13-4C4B-4FDA-A943-59727EC1580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27">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25"/>
      <c r="Q3" s="354"/>
      <c r="R3" s="355"/>
      <c r="S3" s="1427">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27">
        <f>INDEX(PT_DIFFERENTIATION_NUM_CS,MATCH(C4,PT_DIFFERENTIATION_CS_ID,0))</f>
      </c>
      <c r="T4" s="311" t="s">
        <v>481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482</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24"/>
      <c r="R5" s="358"/>
      <c r="S5" s="1427">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27">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27">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26"/>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24"/>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14.25"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28"/>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23"/>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23"/>
      <c r="M19" s="1364"/>
      <c r="N19" s="1364"/>
      <c r="O19" s="1364"/>
      <c r="P19" s="1364"/>
      <c r="Q19" s="1373"/>
      <c r="R19" s="1373"/>
      <c r="S19" s="731"/>
      <c r="AB19" s="1368"/>
      <c r="AI19" s="1368"/>
      <c r="AL19" s="513"/>
      <c r="AM19" s="513"/>
      <c r="AN19" s="513"/>
      <c r="AO19" s="513"/>
      <c r="AP19" s="513"/>
      <c r="AQ19" s="1162">
        <v>0</v>
      </c>
    </row>
    <row s="1368" customFormat="1" customHeight="1" ht="12" hidden="1">
      <c r="L20" s="1423"/>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357"/>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354" t="s">
        <v>489</v>
      </c>
      <c r="W38" s="2264" t="s">
        <v>435</v>
      </c>
      <c r="X38" s="2265"/>
      <c r="Y38" s="2264" t="s">
        <v>436</v>
      </c>
      <c r="Z38" s="2271"/>
      <c r="AA38" s="2265"/>
      <c r="AB38" s="2280"/>
      <c r="AC38" s="1354" t="s">
        <v>489</v>
      </c>
      <c r="AD38" s="2264" t="s">
        <v>435</v>
      </c>
      <c r="AE38" s="2265"/>
      <c r="AF38" s="2264" t="s">
        <v>436</v>
      </c>
      <c r="AG38" s="2271"/>
      <c r="AH38" s="2265"/>
      <c r="AI38" s="2280"/>
      <c r="AJ38" s="2283"/>
      <c r="AK38" s="2129"/>
      <c r="AQ38" s="1157">
        <v>34</v>
      </c>
    </row>
    <row customHeight="1" ht="35.699999999999996">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354" t="s">
        <v>492</v>
      </c>
      <c r="W39" s="1224" t="s">
        <v>493</v>
      </c>
      <c r="X39" s="1224" t="s">
        <v>494</v>
      </c>
      <c r="Y39" s="1359" t="s">
        <v>446</v>
      </c>
      <c r="Z39" s="2272" t="s">
        <v>447</v>
      </c>
      <c r="AA39" s="2273"/>
      <c r="AB39" s="2281"/>
      <c r="AC39" s="1354" t="s">
        <v>492</v>
      </c>
      <c r="AD39" s="1224" t="s">
        <v>493</v>
      </c>
      <c r="AE39" s="1224" t="s">
        <v>494</v>
      </c>
      <c r="AF39" s="1359" t="s">
        <v>446</v>
      </c>
      <c r="AG39" s="2272" t="s">
        <v>447</v>
      </c>
      <c r="AH39" s="2273"/>
      <c r="AI39" s="2281"/>
      <c r="AJ39" s="2284"/>
      <c r="AK39" s="2129"/>
      <c r="AQ39" s="1157">
        <v>34</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355">
        <f>OFFSET(V40,0,-1)+1</f>
        <v>3</v>
      </c>
      <c r="W40" s="1355">
        <f>OFFSET(W40,0,-1)+1</f>
        <v>4</v>
      </c>
      <c r="X40" s="1355">
        <f>OFFSET(X40,0,-1)+1</f>
        <v>5</v>
      </c>
      <c r="Y40" s="1355">
        <f>OFFSET(Y40,0,-1)+1</f>
        <v>6</v>
      </c>
      <c r="Z40" s="2274">
        <f>OFFSET(Z40,0,-1)+1</f>
        <v>7</v>
      </c>
      <c r="AA40" s="2274"/>
      <c r="AB40" s="1355">
        <f>OFFSET(AB40,0,-2)+1</f>
        <v>8</v>
      </c>
      <c r="AC40" s="1355">
        <f>OFFSET(AC40,0,-1)+1</f>
        <v>9</v>
      </c>
      <c r="AD40" s="1355">
        <f>OFFSET(AD40,0,-1)+1</f>
        <v>10</v>
      </c>
      <c r="AE40" s="1355">
        <f>OFFSET(AE40,0,-1)+1</f>
        <v>11</v>
      </c>
      <c r="AF40" s="1355">
        <f>OFFSET(AF40,0,-1)+1</f>
        <v>12</v>
      </c>
      <c r="AG40" s="2274">
        <f>OFFSET(AG40,0,-1)+1</f>
        <v>13</v>
      </c>
      <c r="AH40" s="2274"/>
      <c r="AI40" s="1355">
        <f>OFFSET(AI40,0,-2)+1</f>
        <v>14</v>
      </c>
      <c r="AJ40" s="1247">
        <f>OFFSET(AJ40,0,-1)</f>
        <v>14</v>
      </c>
      <c r="AK40" s="1355">
        <f>OFFSET(AK40,0,-1)+1</f>
        <v>15</v>
      </c>
      <c r="AL40" s="513"/>
      <c r="AM40" s="513"/>
      <c r="AN40" s="513"/>
      <c r="AO40" s="513"/>
      <c r="AP40" s="513"/>
      <c r="AQ40" s="498">
        <v>0</v>
      </c>
    </row>
    <row customHeight="1" ht="24">
      <c r="A41" s="1365" t="s">
        <v>226</v>
      </c>
      <c r="B41" s="1365"/>
      <c r="C41" s="1365"/>
      <c r="D41" s="1365"/>
      <c r="E41" s="2260">
        <v>1</v>
      </c>
      <c r="F41" s="1365"/>
      <c r="G41" s="1365"/>
      <c r="H41" s="1365"/>
      <c r="I41" s="1365"/>
      <c r="J41" s="1365"/>
      <c r="K41" s="1365"/>
      <c r="L41" s="1366"/>
      <c r="M41" s="1367"/>
      <c r="N41" s="1367"/>
      <c r="O41" s="1367"/>
      <c r="P41" s="363"/>
      <c r="Q41" s="362"/>
      <c r="R41" s="357"/>
      <c r="S41" s="1360">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226</v>
      </c>
      <c r="B42" s="1365" t="s">
        <v>227</v>
      </c>
      <c r="C42" s="1365"/>
      <c r="D42" s="1365"/>
      <c r="E42" s="2261"/>
      <c r="F42" s="2260">
        <v>1</v>
      </c>
      <c r="G42" s="1365"/>
      <c r="H42" s="1365"/>
      <c r="I42" s="1365"/>
      <c r="J42" s="1365"/>
      <c r="K42" s="1365"/>
      <c r="L42" s="1366"/>
      <c r="M42" s="1367"/>
      <c r="N42" s="1367"/>
      <c r="O42" s="1367"/>
      <c r="P42" s="1358"/>
      <c r="Q42" s="354"/>
      <c r="R42" s="355"/>
      <c r="S42" s="1360"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226</v>
      </c>
      <c r="B43" s="1365" t="s">
        <v>227</v>
      </c>
      <c r="C43" s="1365" t="s">
        <v>228</v>
      </c>
      <c r="D43" s="1365"/>
      <c r="E43" s="2261"/>
      <c r="F43" s="2261"/>
      <c r="G43" s="2260">
        <v>1</v>
      </c>
      <c r="H43" s="1365"/>
      <c r="I43" s="1365"/>
      <c r="J43" s="1365"/>
      <c r="K43" s="1365"/>
      <c r="L43" s="1366"/>
      <c r="M43" s="1367"/>
      <c r="N43" s="1367"/>
      <c r="O43" s="1367"/>
      <c r="P43" s="356"/>
      <c r="Q43" s="354"/>
      <c r="R43" s="355"/>
      <c r="S43" s="1360" t="str">
        <f>INDEX(PT_DIFFERENTIATION_NUM_CS,MATCH(C43,PT_DIFFERENTIATION_CS_ID,0))</f>
        <v>..</v>
      </c>
      <c r="T43" s="311" t="s">
        <v>481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482</v>
      </c>
      <c r="AM43" s="502"/>
      <c r="AN43" s="502" t="str">
        <f>IF(T43="","",T43)</f>
        <v>Наименование централизованной системы холодного водоснабжения</v>
      </c>
      <c r="AO43" s="502"/>
      <c r="AP43" s="502"/>
      <c r="AQ43" s="1157">
        <v>23</v>
      </c>
    </row>
    <row customHeight="1" ht="24">
      <c r="A44" s="1365" t="s">
        <v>226</v>
      </c>
      <c r="B44" s="1365" t="s">
        <v>227</v>
      </c>
      <c r="C44" s="1365" t="s">
        <v>228</v>
      </c>
      <c r="D44" s="1365" t="s">
        <v>495</v>
      </c>
      <c r="E44" s="2261"/>
      <c r="F44" s="2261"/>
      <c r="G44" s="2261"/>
      <c r="H44" s="2261"/>
      <c r="I44" s="2258" t="str">
        <f>S43&amp;".1"</f>
        <v>...1</v>
      </c>
      <c r="J44" s="1365"/>
      <c r="K44" s="1365"/>
      <c r="L44" s="1366"/>
      <c r="P44" s="2259">
        <v>1</v>
      </c>
      <c r="Q44" s="1356"/>
      <c r="R44" s="358"/>
      <c r="S44" s="1360"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226</v>
      </c>
      <c r="B45" s="1365" t="s">
        <v>227</v>
      </c>
      <c r="C45" s="1365" t="s">
        <v>228</v>
      </c>
      <c r="D45" s="1365" t="s">
        <v>495</v>
      </c>
      <c r="E45" s="2261"/>
      <c r="F45" s="2261"/>
      <c r="G45" s="2261"/>
      <c r="H45" s="2261"/>
      <c r="I45" s="2288"/>
      <c r="J45" s="2258" t="str">
        <f>I44&amp;".1"</f>
        <v>...1.1</v>
      </c>
      <c r="K45" s="1365"/>
      <c r="L45" s="1366" t="s">
        <v>406</v>
      </c>
      <c r="P45" s="2259"/>
      <c r="Q45" s="2259">
        <v>1</v>
      </c>
      <c r="R45" s="359"/>
      <c r="S45" s="1360"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226</v>
      </c>
      <c r="B46" s="1365" t="s">
        <v>227</v>
      </c>
      <c r="C46" s="1365" t="s">
        <v>228</v>
      </c>
      <c r="D46" s="1365" t="s">
        <v>495</v>
      </c>
      <c r="E46" s="2261"/>
      <c r="F46" s="2261"/>
      <c r="G46" s="2261"/>
      <c r="H46" s="2261"/>
      <c r="I46" s="2288"/>
      <c r="J46" s="2288"/>
      <c r="K46" s="2258" t="str">
        <f>J45&amp;".1"</f>
        <v>...1.1.1</v>
      </c>
      <c r="L46" s="1366"/>
      <c r="P46" s="2259"/>
      <c r="Q46" s="2259"/>
      <c r="R46" s="359">
        <v>1</v>
      </c>
      <c r="S46" s="1360"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226</v>
      </c>
      <c r="B47" s="1365" t="s">
        <v>227</v>
      </c>
      <c r="C47" s="1365" t="s">
        <v>228</v>
      </c>
      <c r="D47" s="1365" t="s">
        <v>495</v>
      </c>
      <c r="E47" s="2261"/>
      <c r="F47" s="2261"/>
      <c r="G47" s="2261"/>
      <c r="H47" s="2261"/>
      <c r="I47" s="2288"/>
      <c r="J47" s="2288"/>
      <c r="K47" s="2258"/>
      <c r="L47" s="1366"/>
      <c r="P47" s="2259"/>
      <c r="Q47" s="2259"/>
      <c r="R47" s="359"/>
      <c r="S47" s="1361"/>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226</v>
      </c>
      <c r="B48" s="1365" t="s">
        <v>227</v>
      </c>
      <c r="C48" s="1365" t="s">
        <v>228</v>
      </c>
      <c r="D48" s="1365" t="s">
        <v>495</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226</v>
      </c>
      <c r="B49" s="1365" t="s">
        <v>227</v>
      </c>
      <c r="C49" s="1365" t="s">
        <v>228</v>
      </c>
      <c r="D49" s="1365" t="s">
        <v>495</v>
      </c>
      <c r="E49" s="2261"/>
      <c r="F49" s="2261"/>
      <c r="G49" s="2261"/>
      <c r="H49" s="2261"/>
      <c r="I49" s="2258"/>
      <c r="J49" s="1365"/>
      <c r="K49" s="1365"/>
      <c r="L49" s="1366"/>
      <c r="P49" s="2259"/>
      <c r="Q49" s="1356"/>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226</v>
      </c>
      <c r="B50" s="1365" t="s">
        <v>227</v>
      </c>
      <c r="C50" s="1365" t="s">
        <v>228</v>
      </c>
      <c r="D50" s="1365" t="s">
        <v>495</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226</v>
      </c>
      <c r="B51" s="1345" t="s">
        <v>227</v>
      </c>
      <c r="C51" s="1316"/>
      <c r="D51" s="1316"/>
      <c r="E51" s="2261"/>
      <c r="F51" s="2260"/>
      <c r="G51" s="1316"/>
      <c r="H51" s="1316"/>
      <c r="I51" s="1316"/>
      <c r="J51" s="1316"/>
      <c r="K51" s="1316"/>
      <c r="L51" s="1428"/>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226</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28"/>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23">
        <v>0</v>
      </c>
      <c r="M58" s="1364">
        <v>0</v>
      </c>
      <c r="N58" s="1364">
        <v>0</v>
      </c>
      <c r="O58" s="1364">
        <v>0</v>
      </c>
      <c r="P58" s="1353">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F3D7A2-6C56-48BA-12F2-06EB475C048D}"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482</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59">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454" t="s">
        <v>489</v>
      </c>
      <c r="W38" s="2264" t="s">
        <v>435</v>
      </c>
      <c r="X38" s="2265"/>
      <c r="Y38" s="2264" t="s">
        <v>436</v>
      </c>
      <c r="Z38" s="2271"/>
      <c r="AA38" s="2265"/>
      <c r="AB38" s="2280"/>
      <c r="AC38" s="1454" t="s">
        <v>489</v>
      </c>
      <c r="AD38" s="2264" t="s">
        <v>435</v>
      </c>
      <c r="AE38" s="2265"/>
      <c r="AF38" s="2264" t="s">
        <v>436</v>
      </c>
      <c r="AG38" s="2271"/>
      <c r="AH38" s="2265"/>
      <c r="AI38" s="2280"/>
      <c r="AJ38" s="2283"/>
      <c r="AK38" s="2129"/>
      <c r="AQ38" s="1157">
        <v>34</v>
      </c>
    </row>
    <row customHeight="1" ht="35.699999999999996">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54" t="s">
        <v>492</v>
      </c>
      <c r="W39" s="1224" t="s">
        <v>493</v>
      </c>
      <c r="X39" s="1224" t="s">
        <v>494</v>
      </c>
      <c r="Y39" s="1457" t="s">
        <v>446</v>
      </c>
      <c r="Z39" s="2272" t="s">
        <v>447</v>
      </c>
      <c r="AA39" s="2273"/>
      <c r="AB39" s="2281"/>
      <c r="AC39" s="1454" t="s">
        <v>492</v>
      </c>
      <c r="AD39" s="1224" t="s">
        <v>493</v>
      </c>
      <c r="AE39" s="1224" t="s">
        <v>494</v>
      </c>
      <c r="AF39" s="1457" t="s">
        <v>446</v>
      </c>
      <c r="AG39" s="2272" t="s">
        <v>447</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231</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231</v>
      </c>
      <c r="B42" s="1365" t="s">
        <v>232</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231</v>
      </c>
      <c r="B43" s="1365" t="s">
        <v>232</v>
      </c>
      <c r="C43" s="1365" t="s">
        <v>233</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482</v>
      </c>
      <c r="AM43" s="502"/>
      <c r="AN43" s="502" t="str">
        <f>IF(T43="","",T43)</f>
        <v>Наименование централизованной системы холодного водоснабжения</v>
      </c>
      <c r="AO43" s="502"/>
      <c r="AP43" s="502"/>
      <c r="AQ43" s="1157">
        <v>23</v>
      </c>
    </row>
    <row customHeight="1" ht="24">
      <c r="A44" s="1365" t="s">
        <v>231</v>
      </c>
      <c r="B44" s="1365" t="s">
        <v>232</v>
      </c>
      <c r="C44" s="1365" t="s">
        <v>233</v>
      </c>
      <c r="D44" s="1365" t="s">
        <v>496</v>
      </c>
      <c r="E44" s="2261"/>
      <c r="F44" s="2261"/>
      <c r="G44" s="2261"/>
      <c r="H44" s="2261"/>
      <c r="I44" s="2258" t="str">
        <f>S43&amp;".1"</f>
        <v>...1</v>
      </c>
      <c r="J44" s="1365"/>
      <c r="K44" s="1365"/>
      <c r="L44" s="1366"/>
      <c r="P44" s="2259">
        <v>1</v>
      </c>
      <c r="Q44" s="1452"/>
      <c r="R44" s="358"/>
      <c r="S44" s="1459"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231</v>
      </c>
      <c r="B45" s="1365" t="s">
        <v>232</v>
      </c>
      <c r="C45" s="1365" t="s">
        <v>233</v>
      </c>
      <c r="D45" s="1365" t="s">
        <v>496</v>
      </c>
      <c r="E45" s="2261"/>
      <c r="F45" s="2261"/>
      <c r="G45" s="2261"/>
      <c r="H45" s="2261"/>
      <c r="I45" s="2288"/>
      <c r="J45" s="2258" t="str">
        <f>I44&amp;".1"</f>
        <v>...1.1</v>
      </c>
      <c r="K45" s="1365"/>
      <c r="L45" s="1366" t="s">
        <v>406</v>
      </c>
      <c r="P45" s="2259"/>
      <c r="Q45" s="2259">
        <v>1</v>
      </c>
      <c r="R45" s="359"/>
      <c r="S45" s="1459"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231</v>
      </c>
      <c r="B46" s="1365" t="s">
        <v>232</v>
      </c>
      <c r="C46" s="1365" t="s">
        <v>233</v>
      </c>
      <c r="D46" s="1365" t="s">
        <v>496</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231</v>
      </c>
      <c r="B47" s="1365" t="s">
        <v>232</v>
      </c>
      <c r="C47" s="1365" t="s">
        <v>233</v>
      </c>
      <c r="D47" s="1365" t="s">
        <v>496</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231</v>
      </c>
      <c r="B48" s="1365" t="s">
        <v>232</v>
      </c>
      <c r="C48" s="1365" t="s">
        <v>233</v>
      </c>
      <c r="D48" s="1365" t="s">
        <v>496</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231</v>
      </c>
      <c r="B49" s="1365" t="s">
        <v>232</v>
      </c>
      <c r="C49" s="1365" t="s">
        <v>233</v>
      </c>
      <c r="D49" s="1365" t="s">
        <v>496</v>
      </c>
      <c r="E49" s="2261"/>
      <c r="F49" s="2261"/>
      <c r="G49" s="2261"/>
      <c r="H49" s="2261"/>
      <c r="I49" s="2258"/>
      <c r="J49" s="1365"/>
      <c r="K49" s="1365"/>
      <c r="L49" s="1366"/>
      <c r="P49" s="2259"/>
      <c r="Q49" s="1452"/>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231</v>
      </c>
      <c r="B50" s="1365" t="s">
        <v>232</v>
      </c>
      <c r="C50" s="1365" t="s">
        <v>233</v>
      </c>
      <c r="D50" s="1365" t="s">
        <v>496</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231</v>
      </c>
      <c r="B51" s="1345" t="s">
        <v>232</v>
      </c>
      <c r="C51" s="1316"/>
      <c r="D51" s="1316"/>
      <c r="E51" s="2261"/>
      <c r="F51" s="2260"/>
      <c r="G51" s="1316"/>
      <c r="H51" s="1316"/>
      <c r="I51" s="1316"/>
      <c r="J51" s="1316"/>
      <c r="K51" s="1316"/>
      <c r="L51" s="1460"/>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231</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0611AC-C6CA-6AE6-3B0E-51266F89B375}"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482</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59">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454" t="s">
        <v>489</v>
      </c>
      <c r="W38" s="2264" t="s">
        <v>435</v>
      </c>
      <c r="X38" s="2265"/>
      <c r="Y38" s="2264" t="s">
        <v>436</v>
      </c>
      <c r="Z38" s="2271"/>
      <c r="AA38" s="2265"/>
      <c r="AB38" s="2280"/>
      <c r="AC38" s="1454" t="s">
        <v>489</v>
      </c>
      <c r="AD38" s="2264" t="s">
        <v>435</v>
      </c>
      <c r="AE38" s="2265"/>
      <c r="AF38" s="2264" t="s">
        <v>436</v>
      </c>
      <c r="AG38" s="2271"/>
      <c r="AH38" s="2265"/>
      <c r="AI38" s="2280"/>
      <c r="AJ38" s="2283"/>
      <c r="AK38" s="2129"/>
      <c r="AQ38" s="1157">
        <v>34</v>
      </c>
    </row>
    <row customHeight="1" ht="35.699999999999996">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54" t="s">
        <v>492</v>
      </c>
      <c r="W39" s="1224" t="s">
        <v>493</v>
      </c>
      <c r="X39" s="1224" t="s">
        <v>494</v>
      </c>
      <c r="Y39" s="1457" t="s">
        <v>446</v>
      </c>
      <c r="Z39" s="2272" t="s">
        <v>447</v>
      </c>
      <c r="AA39" s="2273"/>
      <c r="AB39" s="2281"/>
      <c r="AC39" s="1454" t="s">
        <v>492</v>
      </c>
      <c r="AD39" s="1224" t="s">
        <v>493</v>
      </c>
      <c r="AE39" s="1224" t="s">
        <v>494</v>
      </c>
      <c r="AF39" s="1457" t="s">
        <v>446</v>
      </c>
      <c r="AG39" s="2272" t="s">
        <v>447</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236</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236</v>
      </c>
      <c r="B42" s="1365" t="s">
        <v>237</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236</v>
      </c>
      <c r="B43" s="1365" t="s">
        <v>237</v>
      </c>
      <c r="C43" s="1365" t="s">
        <v>238</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482</v>
      </c>
      <c r="AM43" s="502"/>
      <c r="AN43" s="502" t="str">
        <f>IF(T43="","",T43)</f>
        <v>Наименование централизованной системы холодного водоснабжения</v>
      </c>
      <c r="AO43" s="502"/>
      <c r="AP43" s="502"/>
      <c r="AQ43" s="1157">
        <v>23</v>
      </c>
    </row>
    <row customHeight="1" ht="24">
      <c r="A44" s="1365" t="s">
        <v>236</v>
      </c>
      <c r="B44" s="1365" t="s">
        <v>237</v>
      </c>
      <c r="C44" s="1365" t="s">
        <v>238</v>
      </c>
      <c r="D44" s="1365" t="s">
        <v>497</v>
      </c>
      <c r="E44" s="2261"/>
      <c r="F44" s="2261"/>
      <c r="G44" s="2261"/>
      <c r="H44" s="2261"/>
      <c r="I44" s="2258" t="str">
        <f>S43&amp;".1"</f>
        <v>...1</v>
      </c>
      <c r="J44" s="1365"/>
      <c r="K44" s="1365"/>
      <c r="L44" s="1366"/>
      <c r="P44" s="2259">
        <v>1</v>
      </c>
      <c r="Q44" s="1452"/>
      <c r="R44" s="358"/>
      <c r="S44" s="1459"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236</v>
      </c>
      <c r="B45" s="1365" t="s">
        <v>237</v>
      </c>
      <c r="C45" s="1365" t="s">
        <v>238</v>
      </c>
      <c r="D45" s="1365" t="s">
        <v>497</v>
      </c>
      <c r="E45" s="2261"/>
      <c r="F45" s="2261"/>
      <c r="G45" s="2261"/>
      <c r="H45" s="2261"/>
      <c r="I45" s="2288"/>
      <c r="J45" s="2258" t="str">
        <f>I44&amp;".1"</f>
        <v>...1.1</v>
      </c>
      <c r="K45" s="1365"/>
      <c r="L45" s="1366" t="s">
        <v>406</v>
      </c>
      <c r="P45" s="2259"/>
      <c r="Q45" s="2259">
        <v>1</v>
      </c>
      <c r="R45" s="359"/>
      <c r="S45" s="1459"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236</v>
      </c>
      <c r="B46" s="1365" t="s">
        <v>237</v>
      </c>
      <c r="C46" s="1365" t="s">
        <v>238</v>
      </c>
      <c r="D46" s="1365" t="s">
        <v>497</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236</v>
      </c>
      <c r="B47" s="1365" t="s">
        <v>237</v>
      </c>
      <c r="C47" s="1365" t="s">
        <v>238</v>
      </c>
      <c r="D47" s="1365" t="s">
        <v>497</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236</v>
      </c>
      <c r="B48" s="1365" t="s">
        <v>237</v>
      </c>
      <c r="C48" s="1365" t="s">
        <v>238</v>
      </c>
      <c r="D48" s="1365" t="s">
        <v>497</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236</v>
      </c>
      <c r="B49" s="1365" t="s">
        <v>237</v>
      </c>
      <c r="C49" s="1365" t="s">
        <v>238</v>
      </c>
      <c r="D49" s="1365" t="s">
        <v>497</v>
      </c>
      <c r="E49" s="2261"/>
      <c r="F49" s="2261"/>
      <c r="G49" s="2261"/>
      <c r="H49" s="2261"/>
      <c r="I49" s="2258"/>
      <c r="J49" s="1365"/>
      <c r="K49" s="1365"/>
      <c r="L49" s="1366"/>
      <c r="P49" s="2259"/>
      <c r="Q49" s="1452"/>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236</v>
      </c>
      <c r="B50" s="1365" t="s">
        <v>237</v>
      </c>
      <c r="C50" s="1365" t="s">
        <v>238</v>
      </c>
      <c r="D50" s="1365" t="s">
        <v>497</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236</v>
      </c>
      <c r="B51" s="1345" t="s">
        <v>237</v>
      </c>
      <c r="C51" s="1316"/>
      <c r="D51" s="1316"/>
      <c r="E51" s="2261"/>
      <c r="F51" s="2260"/>
      <c r="G51" s="1316"/>
      <c r="H51" s="1316"/>
      <c r="I51" s="1316"/>
      <c r="J51" s="1316"/>
      <c r="K51" s="1316"/>
      <c r="L51" s="1460"/>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236</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1E385A-0A97-C6D5-BEC6-0C365EAB43A7}"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482</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59">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454" t="s">
        <v>489</v>
      </c>
      <c r="W38" s="2264" t="s">
        <v>435</v>
      </c>
      <c r="X38" s="2265"/>
      <c r="Y38" s="2264" t="s">
        <v>436</v>
      </c>
      <c r="Z38" s="2271"/>
      <c r="AA38" s="2265"/>
      <c r="AB38" s="2280"/>
      <c r="AC38" s="1454" t="s">
        <v>489</v>
      </c>
      <c r="AD38" s="2264" t="s">
        <v>435</v>
      </c>
      <c r="AE38" s="2265"/>
      <c r="AF38" s="2264" t="s">
        <v>436</v>
      </c>
      <c r="AG38" s="2271"/>
      <c r="AH38" s="2265"/>
      <c r="AI38" s="2280"/>
      <c r="AJ38" s="2283"/>
      <c r="AK38" s="2129"/>
      <c r="AQ38" s="1157">
        <v>34</v>
      </c>
    </row>
    <row customHeight="1" ht="35.699999999999996">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54" t="s">
        <v>492</v>
      </c>
      <c r="W39" s="1224" t="s">
        <v>493</v>
      </c>
      <c r="X39" s="1224" t="s">
        <v>494</v>
      </c>
      <c r="Y39" s="1457" t="s">
        <v>446</v>
      </c>
      <c r="Z39" s="2272" t="s">
        <v>447</v>
      </c>
      <c r="AA39" s="2273"/>
      <c r="AB39" s="2281"/>
      <c r="AC39" s="1454" t="s">
        <v>492</v>
      </c>
      <c r="AD39" s="1224" t="s">
        <v>493</v>
      </c>
      <c r="AE39" s="1224" t="s">
        <v>494</v>
      </c>
      <c r="AF39" s="1457" t="s">
        <v>446</v>
      </c>
      <c r="AG39" s="2272" t="s">
        <v>447</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241</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241</v>
      </c>
      <c r="B42" s="1365" t="s">
        <v>242</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241</v>
      </c>
      <c r="B43" s="1365" t="s">
        <v>242</v>
      </c>
      <c r="C43" s="1365" t="s">
        <v>243</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482</v>
      </c>
      <c r="AM43" s="502"/>
      <c r="AN43" s="502" t="str">
        <f>IF(T43="","",T43)</f>
        <v>Наименование централизованной системы холодного водоснабжения</v>
      </c>
      <c r="AO43" s="502"/>
      <c r="AP43" s="502"/>
      <c r="AQ43" s="1157">
        <v>23</v>
      </c>
    </row>
    <row customHeight="1" ht="24">
      <c r="A44" s="1365" t="s">
        <v>241</v>
      </c>
      <c r="B44" s="1365" t="s">
        <v>242</v>
      </c>
      <c r="C44" s="1365" t="s">
        <v>243</v>
      </c>
      <c r="D44" s="1365" t="s">
        <v>498</v>
      </c>
      <c r="E44" s="2261"/>
      <c r="F44" s="2261"/>
      <c r="G44" s="2261"/>
      <c r="H44" s="2261"/>
      <c r="I44" s="2258" t="str">
        <f>S43&amp;".1"</f>
        <v>...1</v>
      </c>
      <c r="J44" s="1365"/>
      <c r="K44" s="1365"/>
      <c r="L44" s="1366"/>
      <c r="P44" s="2259">
        <v>1</v>
      </c>
      <c r="Q44" s="1452"/>
      <c r="R44" s="358"/>
      <c r="S44" s="1459"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241</v>
      </c>
      <c r="B45" s="1365" t="s">
        <v>242</v>
      </c>
      <c r="C45" s="1365" t="s">
        <v>243</v>
      </c>
      <c r="D45" s="1365" t="s">
        <v>498</v>
      </c>
      <c r="E45" s="2261"/>
      <c r="F45" s="2261"/>
      <c r="G45" s="2261"/>
      <c r="H45" s="2261"/>
      <c r="I45" s="2288"/>
      <c r="J45" s="2258" t="str">
        <f>I44&amp;".1"</f>
        <v>...1.1</v>
      </c>
      <c r="K45" s="1365"/>
      <c r="L45" s="1366" t="s">
        <v>406</v>
      </c>
      <c r="P45" s="2259"/>
      <c r="Q45" s="2259">
        <v>1</v>
      </c>
      <c r="R45" s="359"/>
      <c r="S45" s="1459"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241</v>
      </c>
      <c r="B46" s="1365" t="s">
        <v>242</v>
      </c>
      <c r="C46" s="1365" t="s">
        <v>243</v>
      </c>
      <c r="D46" s="1365" t="s">
        <v>498</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241</v>
      </c>
      <c r="B47" s="1365" t="s">
        <v>242</v>
      </c>
      <c r="C47" s="1365" t="s">
        <v>243</v>
      </c>
      <c r="D47" s="1365" t="s">
        <v>498</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241</v>
      </c>
      <c r="B48" s="1365" t="s">
        <v>242</v>
      </c>
      <c r="C48" s="1365" t="s">
        <v>243</v>
      </c>
      <c r="D48" s="1365" t="s">
        <v>498</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241</v>
      </c>
      <c r="B49" s="1365" t="s">
        <v>242</v>
      </c>
      <c r="C49" s="1365" t="s">
        <v>243</v>
      </c>
      <c r="D49" s="1365" t="s">
        <v>498</v>
      </c>
      <c r="E49" s="2261"/>
      <c r="F49" s="2261"/>
      <c r="G49" s="2261"/>
      <c r="H49" s="2261"/>
      <c r="I49" s="2258"/>
      <c r="J49" s="1365"/>
      <c r="K49" s="1365"/>
      <c r="L49" s="1366"/>
      <c r="P49" s="2259"/>
      <c r="Q49" s="1452"/>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241</v>
      </c>
      <c r="B50" s="1365" t="s">
        <v>242</v>
      </c>
      <c r="C50" s="1365" t="s">
        <v>243</v>
      </c>
      <c r="D50" s="1365" t="s">
        <v>498</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241</v>
      </c>
      <c r="B51" s="1345" t="s">
        <v>242</v>
      </c>
      <c r="C51" s="1316"/>
      <c r="D51" s="1316"/>
      <c r="E51" s="2261"/>
      <c r="F51" s="2260"/>
      <c r="G51" s="1316"/>
      <c r="H51" s="1316"/>
      <c r="I51" s="1316"/>
      <c r="J51" s="1316"/>
      <c r="K51" s="1316"/>
      <c r="L51" s="1460"/>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241</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46D7A3-DF8A-FED3-E772-25514443ECBB}"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7" width="10.140625" hidden="1" customWidth="1"/>
    <col min="4" max="4" style="1637" width="11.8515625" hidden="1" customWidth="1"/>
    <col min="5" max="11" style="1637" width="10.140625" hidden="1" customWidth="1"/>
    <col min="12" max="12" style="2127" width="10.140625" hidden="1" customWidth="1"/>
    <col min="13" max="15" style="2399" width="10.14062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27.00390625" customWidth="1"/>
    <col min="29" max="29" style="1637" width="24.57421875" customWidth="1"/>
    <col min="30" max="31" style="1637" width="21.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0.75" hidden="1">
      <c r="AQ1" s="1633" t="s">
        <v>14</v>
      </c>
    </row>
    <row customHeight="1" ht="21" hidden="1">
      <c r="A2" s="1269"/>
      <c r="B2" s="1269"/>
      <c r="C2" s="1269"/>
      <c r="D2" s="1269"/>
      <c r="E2" s="2291">
        <v>1</v>
      </c>
      <c r="F2" s="1269"/>
      <c r="G2" s="1269"/>
      <c r="H2" s="1269"/>
      <c r="I2" s="1269"/>
      <c r="J2" s="1269"/>
      <c r="K2" s="1269"/>
      <c r="L2" s="1312"/>
      <c r="M2" s="1612"/>
      <c r="N2" s="1612"/>
      <c r="O2" s="1612"/>
      <c r="P2" s="1411"/>
      <c r="Q2" s="875"/>
      <c r="R2" s="357"/>
      <c r="S2" s="1960">
        <f>INDEX(PT_DIFFERENTIATION_NUM_NTAR,MATCH(A2,PT_DIFFERENTIATION_NTAR_ID,0))</f>
      </c>
      <c r="T2" s="1527" t="s">
        <v>125</v>
      </c>
      <c r="U2" s="302"/>
      <c r="V2" s="2245"/>
      <c r="W2" s="2245"/>
      <c r="X2" s="2245"/>
      <c r="Y2" s="2245"/>
      <c r="Z2" s="2245"/>
      <c r="AA2" s="2246"/>
      <c r="AB2" s="1954"/>
      <c r="AC2" s="2245">
        <f>INDEX(PT_DIFFERENTIATION_NTAR,MATCH(A2,PT_DIFFERENTIATION_NTAR_ID,0))</f>
      </c>
      <c r="AD2" s="2245"/>
      <c r="AE2" s="2245"/>
      <c r="AF2" s="2245"/>
      <c r="AG2" s="2245"/>
      <c r="AH2" s="2245"/>
      <c r="AI2" s="2245"/>
      <c r="AJ2" s="2246"/>
      <c r="AK2" s="1260" t="s">
        <v>396</v>
      </c>
      <c r="AM2" s="1626"/>
      <c r="AN2" s="1626" t="str">
        <f>IF(T2="","",T2)</f>
        <v>Наименование тарифа</v>
      </c>
      <c r="AO2" s="1626"/>
      <c r="AP2" s="1626"/>
      <c r="AQ2" s="1633">
        <v>0</v>
      </c>
    </row>
    <row customHeight="1" ht="21" hidden="1">
      <c r="A3" s="1269"/>
      <c r="B3" s="1269"/>
      <c r="C3" s="1269"/>
      <c r="D3" s="1269"/>
      <c r="E3" s="2292"/>
      <c r="F3" s="2291">
        <v>1</v>
      </c>
      <c r="G3" s="1269"/>
      <c r="H3" s="1269"/>
      <c r="I3" s="1269"/>
      <c r="J3" s="1269"/>
      <c r="K3" s="1269"/>
      <c r="L3" s="1312"/>
      <c r="M3" s="1612"/>
      <c r="N3" s="1612"/>
      <c r="O3" s="1612"/>
      <c r="P3" s="1971"/>
      <c r="Q3" s="1413"/>
      <c r="R3" s="355"/>
      <c r="S3" s="1960">
        <f>INDEX(PT_DIFFERENTIATION_NUM_TER,MATCH(B3,PT_DIFFERENTIATION_TER_ID,0))</f>
      </c>
      <c r="T3" s="1524" t="s">
        <v>397</v>
      </c>
      <c r="U3" s="302"/>
      <c r="V3" s="2245"/>
      <c r="W3" s="2245"/>
      <c r="X3" s="2245"/>
      <c r="Y3" s="2245"/>
      <c r="Z3" s="2245"/>
      <c r="AA3" s="2246"/>
      <c r="AB3" s="1954"/>
      <c r="AC3" s="2245">
        <f>INDEX(PT_DIFFERENTIATION_TER,MATCH(B3,PT_DIFFERENTIATION_TER_ID,0))</f>
      </c>
      <c r="AD3" s="2245"/>
      <c r="AE3" s="2245"/>
      <c r="AF3" s="2245"/>
      <c r="AG3" s="2245"/>
      <c r="AH3" s="2245"/>
      <c r="AI3" s="2245"/>
      <c r="AJ3" s="2246"/>
      <c r="AK3" s="1260" t="s">
        <v>398</v>
      </c>
      <c r="AM3" s="1626"/>
      <c r="AN3" s="1626" t="str">
        <f>IF(T3="","",T3)</f>
        <v>Территория действия тарифа</v>
      </c>
      <c r="AO3" s="1626"/>
      <c r="AP3" s="1626"/>
      <c r="AQ3" s="1633">
        <v>0</v>
      </c>
    </row>
    <row customHeight="1" ht="22.5" hidden="1">
      <c r="A4" s="1269"/>
      <c r="B4" s="1269"/>
      <c r="C4" s="1269"/>
      <c r="D4" s="1269"/>
      <c r="E4" s="2292"/>
      <c r="F4" s="2292"/>
      <c r="G4" s="2291">
        <v>1</v>
      </c>
      <c r="H4" s="1269"/>
      <c r="I4" s="1269"/>
      <c r="J4" s="1269"/>
      <c r="K4" s="1269"/>
      <c r="L4" s="1312"/>
      <c r="M4" s="1612"/>
      <c r="N4" s="1612"/>
      <c r="O4" s="1612"/>
      <c r="P4" s="1414"/>
      <c r="Q4" s="1413"/>
      <c r="R4" s="355"/>
      <c r="S4" s="1960">
        <f>INDEX(PT_DIFFERENTIATION_NUM_CS,MATCH(C4,PT_DIFFERENTIATION_CS_ID,0))</f>
      </c>
      <c r="T4" s="311" t="s">
        <v>399</v>
      </c>
      <c r="U4" s="302"/>
      <c r="V4" s="2245"/>
      <c r="W4" s="2245"/>
      <c r="X4" s="2245"/>
      <c r="Y4" s="2245"/>
      <c r="Z4" s="2245"/>
      <c r="AA4" s="2246"/>
      <c r="AB4" s="1954"/>
      <c r="AC4" s="2245">
        <f>INDEX(PT_DIFFERENTIATION_CS,MATCH(C4,PT_DIFFERENTIATION_CS_ID,0))</f>
      </c>
      <c r="AD4" s="2245"/>
      <c r="AE4" s="2245"/>
      <c r="AF4" s="2245"/>
      <c r="AG4" s="2245"/>
      <c r="AH4" s="2245"/>
      <c r="AI4" s="2245"/>
      <c r="AJ4" s="2246"/>
      <c r="AK4" s="1260" t="s">
        <v>400</v>
      </c>
      <c r="AM4" s="1626"/>
      <c r="AN4" s="1626" t="str">
        <f>IF(T4="","",T4)</f>
        <v>Наименование системы теплоснабжения </v>
      </c>
      <c r="AO4" s="1626"/>
      <c r="AP4" s="1626"/>
      <c r="AQ4" s="1633">
        <v>0</v>
      </c>
    </row>
    <row customHeight="1" ht="21" hidden="1">
      <c r="A5" s="1269"/>
      <c r="B5" s="1269"/>
      <c r="C5" s="1269"/>
      <c r="D5" s="1269"/>
      <c r="E5" s="2292"/>
      <c r="F5" s="2292"/>
      <c r="G5" s="2292"/>
      <c r="H5" s="2291">
        <v>1</v>
      </c>
      <c r="I5" s="1269"/>
      <c r="J5" s="1269"/>
      <c r="K5" s="1269"/>
      <c r="L5" s="1312"/>
      <c r="M5" s="1612"/>
      <c r="N5" s="1612"/>
      <c r="O5" s="1612"/>
      <c r="P5" s="1414"/>
      <c r="Q5" s="1413"/>
      <c r="R5" s="355"/>
      <c r="S5" s="1960">
        <f>INDEX(PT_DIFFERENTIATION_NUM_IST_TE,MATCH(D5,PT_DIFFERENTIATION_IST_TE_ID,0))</f>
      </c>
      <c r="T5" s="312" t="s">
        <v>401</v>
      </c>
      <c r="U5" s="302"/>
      <c r="V5" s="2245"/>
      <c r="W5" s="2245"/>
      <c r="X5" s="2245"/>
      <c r="Y5" s="2245"/>
      <c r="Z5" s="2245"/>
      <c r="AA5" s="2246"/>
      <c r="AB5" s="1954"/>
      <c r="AC5" s="2245">
        <f>INDEX(PT_DIFFERENTIATION_IST_TE,MATCH(D5,PT_DIFFERENTIATION_IST_TE_ID,0))</f>
      </c>
      <c r="AD5" s="2245"/>
      <c r="AE5" s="2245"/>
      <c r="AF5" s="2245"/>
      <c r="AG5" s="2245"/>
      <c r="AH5" s="2245"/>
      <c r="AI5" s="2245"/>
      <c r="AJ5" s="2246"/>
      <c r="AK5" s="1260" t="s">
        <v>402</v>
      </c>
      <c r="AM5" s="1626"/>
      <c r="AN5" s="1626" t="str">
        <f>IF(T5="","",T5)</f>
        <v>Источник тепловой энергии  </v>
      </c>
      <c r="AO5" s="1626"/>
      <c r="AP5" s="1626"/>
      <c r="AQ5" s="1633">
        <v>0</v>
      </c>
    </row>
    <row s="1644" customFormat="1" customHeight="1" ht="0.75" hidden="1">
      <c r="A6" s="1377"/>
      <c r="B6" s="1377"/>
      <c r="C6" s="1377"/>
      <c r="D6" s="1377"/>
      <c r="E6" s="2292"/>
      <c r="F6" s="2292"/>
      <c r="G6" s="2292"/>
      <c r="H6" s="2292"/>
      <c r="I6" s="2129">
        <f>S5&amp;".1"</f>
      </c>
      <c r="J6" s="1377"/>
      <c r="K6" s="1377"/>
      <c r="L6" s="1383" t="s">
        <v>403</v>
      </c>
      <c r="M6" s="1248"/>
      <c r="N6" s="1248"/>
      <c r="O6" s="1248"/>
      <c r="P6" s="2259">
        <v>1</v>
      </c>
      <c r="Q6" s="1956"/>
      <c r="R6" s="358"/>
      <c r="S6" s="1044"/>
      <c r="T6" s="1385"/>
      <c r="U6" s="1386"/>
      <c r="V6" s="2299"/>
      <c r="W6" s="2299"/>
      <c r="X6" s="2299"/>
      <c r="Y6" s="2299"/>
      <c r="Z6" s="2299"/>
      <c r="AA6" s="2300"/>
      <c r="AB6" s="1962"/>
      <c r="AC6" s="2299"/>
      <c r="AD6" s="2299"/>
      <c r="AE6" s="2299"/>
      <c r="AF6" s="2299"/>
      <c r="AG6" s="2299"/>
      <c r="AH6" s="2299"/>
      <c r="AI6" s="2299"/>
      <c r="AJ6" s="2300"/>
      <c r="AK6" s="1387"/>
      <c r="AM6" s="1626"/>
      <c r="AN6" s="1626" t="str">
        <f>IF(T6="","",T6)</f>
        <v/>
      </c>
      <c r="AO6" s="1626"/>
      <c r="AP6" s="1626"/>
      <c r="AQ6" s="1638">
        <v>0</v>
      </c>
    </row>
    <row s="1644" customFormat="1" customHeight="1" ht="0.75" hidden="1">
      <c r="A7" s="1377"/>
      <c r="B7" s="1377"/>
      <c r="C7" s="1377"/>
      <c r="D7" s="1377"/>
      <c r="E7" s="2292"/>
      <c r="F7" s="2292"/>
      <c r="G7" s="2292"/>
      <c r="H7" s="2292"/>
      <c r="I7" s="2103"/>
      <c r="J7" s="2129">
        <f>S5&amp;".1"</f>
      </c>
      <c r="K7" s="1377"/>
      <c r="L7" s="1383"/>
      <c r="M7" s="1248"/>
      <c r="N7" s="1248"/>
      <c r="O7" s="1248"/>
      <c r="P7" s="2259"/>
      <c r="Q7" s="2259">
        <v>1</v>
      </c>
      <c r="R7" s="359"/>
      <c r="S7" s="1044"/>
      <c r="T7" s="1401"/>
      <c r="U7" s="1386"/>
      <c r="V7" s="2299"/>
      <c r="W7" s="2299"/>
      <c r="X7" s="2299"/>
      <c r="Y7" s="2299"/>
      <c r="Z7" s="2299"/>
      <c r="AA7" s="2300"/>
      <c r="AB7" s="1962"/>
      <c r="AC7" s="2299"/>
      <c r="AD7" s="2299"/>
      <c r="AE7" s="2299"/>
      <c r="AF7" s="2299"/>
      <c r="AG7" s="2299"/>
      <c r="AH7" s="2299"/>
      <c r="AI7" s="2299"/>
      <c r="AJ7" s="2300"/>
      <c r="AK7" s="1387"/>
      <c r="AM7" s="1626"/>
      <c r="AN7" s="1626" t="str">
        <f>IF(T7="","",T7)</f>
        <v/>
      </c>
      <c r="AO7" s="1626"/>
      <c r="AP7" s="1626"/>
      <c r="AQ7" s="1638">
        <v>0</v>
      </c>
    </row>
    <row customHeight="1" ht="21" hidden="1">
      <c r="A8" s="1269"/>
      <c r="B8" s="1269"/>
      <c r="C8" s="1269"/>
      <c r="D8" s="1269"/>
      <c r="E8" s="2292"/>
      <c r="F8" s="2292"/>
      <c r="G8" s="2292"/>
      <c r="H8" s="2292"/>
      <c r="I8" s="2103"/>
      <c r="J8" s="2103"/>
      <c r="K8" s="1993">
        <f>S5&amp;".1"</f>
      </c>
      <c r="L8" s="1312"/>
      <c r="P8" s="2259"/>
      <c r="Q8" s="2259"/>
      <c r="R8" s="1997">
        <v>1</v>
      </c>
      <c r="S8" s="1995">
        <f>$K8</f>
      </c>
      <c r="T8" s="1996"/>
      <c r="U8" s="302"/>
      <c r="V8" s="753"/>
      <c r="W8" s="1259"/>
      <c r="X8" s="1994"/>
      <c r="Y8" s="1992" t="s">
        <v>66</v>
      </c>
      <c r="Z8" s="1994"/>
      <c r="AA8" s="1992" t="s">
        <v>66</v>
      </c>
      <c r="AB8" s="1998"/>
      <c r="AC8" s="1999" t="s">
        <v>22</v>
      </c>
      <c r="AD8" s="753"/>
      <c r="AE8" s="1259"/>
      <c r="AF8" s="1957"/>
      <c r="AG8" s="1944" t="s">
        <v>66</v>
      </c>
      <c r="AH8" s="1957"/>
      <c r="AI8" s="1944" t="s">
        <v>66</v>
      </c>
      <c r="AJ8" s="1350"/>
      <c r="AK8" s="2255" t="s">
        <v>464</v>
      </c>
      <c r="AL8" s="1638">
        <f>STRCHECKDATE(#REF!)</f>
      </c>
      <c r="AM8" s="1626"/>
      <c r="AN8" s="1626" t="str">
        <f>IF(T8="","",T8)</f>
        <v/>
      </c>
      <c r="AO8" s="1626"/>
      <c r="AP8" s="1626"/>
      <c r="AQ8" s="1633">
        <v>0</v>
      </c>
    </row>
    <row customHeight="1" ht="11.25" hidden="1">
      <c r="A9" s="1269"/>
      <c r="B9" s="1269"/>
      <c r="C9" s="1269"/>
      <c r="D9" s="1269"/>
      <c r="E9" s="2292"/>
      <c r="F9" s="2292"/>
      <c r="G9" s="2292"/>
      <c r="H9" s="2292"/>
      <c r="I9" s="2103"/>
      <c r="J9" s="2129"/>
      <c r="K9" s="1269"/>
      <c r="L9" s="1312"/>
      <c r="P9" s="2259"/>
      <c r="Q9" s="2259"/>
      <c r="R9" s="358"/>
      <c r="S9" s="1280"/>
      <c r="T9" s="289" t="s">
        <v>468</v>
      </c>
      <c r="U9" s="602"/>
      <c r="V9" s="602"/>
      <c r="W9" s="602"/>
      <c r="X9" s="602"/>
      <c r="Y9" s="602"/>
      <c r="Z9" s="602"/>
      <c r="AA9" s="602"/>
      <c r="AB9" s="602"/>
      <c r="AC9" s="602"/>
      <c r="AD9" s="602"/>
      <c r="AE9" s="602"/>
      <c r="AF9" s="602"/>
      <c r="AG9" s="602"/>
      <c r="AH9" s="602"/>
      <c r="AI9" s="602"/>
      <c r="AJ9" s="326"/>
      <c r="AK9" s="2257"/>
      <c r="AM9" s="1626"/>
      <c r="AN9" s="1626" t="str">
        <f>IF(T9="","",T9)</f>
        <v>Добавить строку</v>
      </c>
      <c r="AO9" s="1626"/>
      <c r="AP9" s="1626"/>
      <c r="AQ9" s="1633">
        <v>0</v>
      </c>
    </row>
    <row s="1644" customFormat="1" customHeight="1" ht="0.75" hidden="1">
      <c r="A10" s="1377"/>
      <c r="B10" s="1377"/>
      <c r="C10" s="1377"/>
      <c r="D10" s="1377"/>
      <c r="E10" s="2292"/>
      <c r="F10" s="2292"/>
      <c r="G10" s="2292"/>
      <c r="H10" s="2292"/>
      <c r="I10" s="2129"/>
      <c r="J10" s="1377"/>
      <c r="K10" s="1377"/>
      <c r="L10" s="1383"/>
      <c r="M10" s="1248"/>
      <c r="N10" s="1248"/>
      <c r="O10" s="1248"/>
      <c r="P10" s="2259"/>
      <c r="Q10" s="1956"/>
      <c r="R10" s="358"/>
      <c r="S10" s="1388"/>
      <c r="T10" s="1389"/>
      <c r="U10" s="1390"/>
      <c r="V10" s="1390"/>
      <c r="W10" s="1390"/>
      <c r="X10" s="1390"/>
      <c r="Y10" s="1390"/>
      <c r="Z10" s="1390"/>
      <c r="AA10" s="1390"/>
      <c r="AB10" s="1390"/>
      <c r="AC10" s="1390"/>
      <c r="AD10" s="1390"/>
      <c r="AE10" s="1390"/>
      <c r="AF10" s="1390"/>
      <c r="AG10" s="1390"/>
      <c r="AH10" s="1390"/>
      <c r="AI10" s="1390"/>
      <c r="AJ10" s="1390"/>
      <c r="AK10" s="1391"/>
      <c r="AM10" s="1626"/>
      <c r="AN10" s="1626" t="str">
        <f>IF(T10="","",T10)</f>
        <v/>
      </c>
      <c r="AO10" s="1626"/>
      <c r="AP10" s="1626"/>
      <c r="AQ10" s="1638">
        <v>0</v>
      </c>
    </row>
    <row s="1644" customFormat="1" customHeight="1" ht="0.75" hidden="1">
      <c r="A11" s="1377"/>
      <c r="B11" s="1377"/>
      <c r="C11" s="1377"/>
      <c r="D11" s="1377"/>
      <c r="E11" s="2292"/>
      <c r="F11" s="2292"/>
      <c r="G11" s="2292"/>
      <c r="H11" s="2291"/>
      <c r="I11" s="1377"/>
      <c r="J11" s="1377"/>
      <c r="K11" s="1377"/>
      <c r="L11" s="1383"/>
      <c r="M11" s="1380"/>
      <c r="N11" s="1380"/>
      <c r="O11" s="353"/>
      <c r="P11" s="382"/>
      <c r="Q11" s="1346"/>
      <c r="R11" s="1403"/>
      <c r="S11" s="1388"/>
      <c r="T11" s="1389"/>
      <c r="U11" s="1390"/>
      <c r="V11" s="1390"/>
      <c r="W11" s="1390"/>
      <c r="X11" s="1390"/>
      <c r="Y11" s="1390"/>
      <c r="Z11" s="1390"/>
      <c r="AA11" s="1390"/>
      <c r="AB11" s="1390"/>
      <c r="AC11" s="1390"/>
      <c r="AD11" s="1390"/>
      <c r="AE11" s="1390"/>
      <c r="AF11" s="1390"/>
      <c r="AG11" s="1390"/>
      <c r="AH11" s="1390"/>
      <c r="AI11" s="1390"/>
      <c r="AJ11" s="1390"/>
      <c r="AK11" s="1391"/>
      <c r="AM11" s="1626"/>
      <c r="AN11" s="1626" t="str">
        <f>IF(T11="","",T11)</f>
        <v/>
      </c>
      <c r="AO11" s="1626"/>
      <c r="AP11" s="1626"/>
      <c r="AQ11" s="1638">
        <v>0</v>
      </c>
    </row>
    <row s="1644" customFormat="1" customHeight="1" ht="0.75" hidden="1">
      <c r="A12" s="1377"/>
      <c r="B12" s="1377"/>
      <c r="C12" s="1377"/>
      <c r="D12" s="1376"/>
      <c r="E12" s="2292"/>
      <c r="F12" s="2292"/>
      <c r="G12" s="2291"/>
      <c r="H12" s="1376"/>
      <c r="I12" s="1376"/>
      <c r="J12" s="1376"/>
      <c r="K12" s="1376"/>
      <c r="L12" s="1379"/>
      <c r="M12" s="1380"/>
      <c r="N12" s="1380"/>
      <c r="O12" s="35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M12" s="1253"/>
      <c r="AN12" s="1253" t="str">
        <f>IF(T12="","",T12)</f>
        <v>Добавить источник для дифференциации</v>
      </c>
      <c r="AO12" s="1253"/>
      <c r="AP12" s="1253"/>
      <c r="AQ12" s="1644">
        <v>0</v>
      </c>
    </row>
    <row s="1644" customFormat="1" customHeight="1" ht="0.75" hidden="1">
      <c r="A13" s="1377"/>
      <c r="B13" s="1377"/>
      <c r="C13" s="1376"/>
      <c r="D13" s="1376"/>
      <c r="E13" s="2292"/>
      <c r="F13" s="2291"/>
      <c r="G13" s="1376"/>
      <c r="H13" s="1376"/>
      <c r="I13" s="1376"/>
      <c r="J13" s="1376"/>
      <c r="K13" s="1376"/>
      <c r="L13" s="1379"/>
      <c r="M13" s="1381"/>
      <c r="N13" s="1381"/>
      <c r="O13" s="353"/>
      <c r="P13" s="1318"/>
      <c r="Q13" s="1319"/>
      <c r="R13" s="1318"/>
      <c r="S13" s="1324"/>
      <c r="T13" s="1327" t="s">
        <v>415</v>
      </c>
      <c r="U13" s="1326"/>
      <c r="V13" s="1326"/>
      <c r="W13" s="1326"/>
      <c r="X13" s="1326"/>
      <c r="Y13" s="1326"/>
      <c r="Z13" s="1326"/>
      <c r="AA13" s="1326"/>
      <c r="AB13" s="1326"/>
      <c r="AC13" s="1326"/>
      <c r="AD13" s="1326"/>
      <c r="AE13" s="1326"/>
      <c r="AF13" s="1326"/>
      <c r="AG13" s="1326"/>
      <c r="AH13" s="1326"/>
      <c r="AI13" s="1326"/>
      <c r="AJ13" s="1326"/>
      <c r="AK13" s="1326"/>
      <c r="AM13" s="1253"/>
      <c r="AN13" s="1253" t="str">
        <f>IF(T13="","",T13)</f>
        <v>Добавить централизованную систему для дифференциации</v>
      </c>
      <c r="AO13" s="1253"/>
      <c r="AP13" s="1253"/>
      <c r="AQ13" s="1644">
        <v>0</v>
      </c>
    </row>
    <row s="1644" customFormat="1" customHeight="1" ht="0.75" hidden="1">
      <c r="A14" s="1377"/>
      <c r="B14" s="1377"/>
      <c r="C14" s="1377"/>
      <c r="D14" s="1377"/>
      <c r="E14" s="2291"/>
      <c r="F14" s="1377"/>
      <c r="G14" s="1377"/>
      <c r="H14" s="1377"/>
      <c r="I14" s="1377"/>
      <c r="J14" s="1377"/>
      <c r="K14" s="1377"/>
      <c r="L14" s="1383"/>
      <c r="M14" s="1381"/>
      <c r="N14" s="1381"/>
      <c r="O14" s="353"/>
      <c r="P14" s="382"/>
      <c r="Q14" s="1346"/>
      <c r="R14" s="382"/>
      <c r="S14" s="1324"/>
      <c r="T14" s="1327" t="s">
        <v>416</v>
      </c>
      <c r="U14" s="1326"/>
      <c r="V14" s="1326"/>
      <c r="W14" s="1326"/>
      <c r="X14" s="1326"/>
      <c r="Y14" s="1326"/>
      <c r="Z14" s="1326"/>
      <c r="AA14" s="1326"/>
      <c r="AB14" s="1326"/>
      <c r="AC14" s="1326"/>
      <c r="AD14" s="1326"/>
      <c r="AE14" s="1326"/>
      <c r="AF14" s="1326"/>
      <c r="AG14" s="1326"/>
      <c r="AH14" s="1326"/>
      <c r="AI14" s="1326"/>
      <c r="AJ14" s="1326"/>
      <c r="AK14" s="1326"/>
      <c r="AM14" s="1626"/>
      <c r="AN14" s="1626" t="str">
        <f>IF(T14="","",T14)</f>
        <v>Добавить территорию для дифференциации</v>
      </c>
      <c r="AO14" s="1626"/>
      <c r="AP14" s="1626"/>
      <c r="AQ14" s="1638">
        <v>0</v>
      </c>
    </row>
    <row customHeight="1" ht="14.25" hidden="1">
      <c r="AQ15" s="1633">
        <v>0</v>
      </c>
    </row>
    <row customHeight="1" ht="14.25" hidden="1">
      <c r="AC16" s="1504"/>
      <c r="AD16" s="1405"/>
      <c r="AE16" s="1406"/>
      <c r="AF16" s="1738"/>
      <c r="AG16" s="1968" t="s">
        <v>66</v>
      </c>
      <c r="AH16" s="1738"/>
      <c r="AI16" s="1968" t="s">
        <v>66</v>
      </c>
      <c r="AQ16" s="1633">
        <v>0</v>
      </c>
    </row>
    <row customHeight="1" ht="14.25" hidden="1">
      <c r="AL17" s="1643"/>
      <c r="AM17" s="1643"/>
      <c r="AN17" s="1643"/>
      <c r="AO17" s="1643"/>
      <c r="AP17" s="1643"/>
      <c r="AQ17" s="1633">
        <v>0</v>
      </c>
    </row>
    <row customHeight="1" ht="14.25" hidden="1">
      <c r="O18" s="1347" t="s">
        <v>417</v>
      </c>
      <c r="X18" s="1347"/>
      <c r="Z18" s="1347"/>
      <c r="AF18" s="1347"/>
      <c r="AH18" s="1347"/>
      <c r="AL18" s="1643"/>
      <c r="AM18" s="1643"/>
      <c r="AN18" s="1643"/>
      <c r="AO18" s="1643"/>
      <c r="AP18" s="1643"/>
      <c r="AQ18" s="1633">
        <v>0</v>
      </c>
    </row>
    <row customHeight="1" ht="14.25" hidden="1">
      <c r="AL19" s="1643"/>
      <c r="AM19" s="1643"/>
      <c r="AN19" s="1643"/>
      <c r="AO19" s="1643"/>
      <c r="AP19" s="1643"/>
      <c r="AQ19" s="1633">
        <v>0</v>
      </c>
    </row>
    <row s="1511" customFormat="1" customHeight="1" ht="14.25" hidden="1">
      <c r="A20" s="1973"/>
      <c r="B20" s="1973"/>
      <c r="C20" s="1973"/>
      <c r="D20" s="1973"/>
      <c r="E20" s="1973"/>
      <c r="F20" s="1973"/>
      <c r="G20" s="1973"/>
      <c r="H20" s="1973"/>
      <c r="I20" s="1973"/>
      <c r="J20" s="1973"/>
      <c r="K20" s="1973"/>
      <c r="L20" s="1973"/>
      <c r="M20" s="1974"/>
      <c r="N20" s="1974"/>
      <c r="O20" s="1975" t="s">
        <v>418</v>
      </c>
      <c r="P20" s="1510"/>
      <c r="Q20" s="1512"/>
      <c r="R20" s="1512"/>
      <c r="Y20" s="1509" t="s">
        <v>420</v>
      </c>
      <c r="AA20" s="1509" t="s">
        <v>421</v>
      </c>
      <c r="AC20" s="1509" t="s">
        <v>470</v>
      </c>
      <c r="AG20" s="1509" t="s">
        <v>420</v>
      </c>
      <c r="AI20" s="1509" t="s">
        <v>421</v>
      </c>
      <c r="AL20" s="1513"/>
      <c r="AM20" s="1513"/>
      <c r="AN20" s="1513"/>
      <c r="AO20" s="1513"/>
      <c r="AP20" s="1513"/>
      <c r="AQ20" s="1509">
        <v>0</v>
      </c>
    </row>
    <row customHeight="1" ht="14.25" hidden="1">
      <c r="O21" s="1312"/>
      <c r="AL21" s="1643"/>
      <c r="AM21" s="1643"/>
      <c r="AN21" s="1643"/>
      <c r="AO21" s="1643"/>
      <c r="AP21" s="1643"/>
      <c r="AQ21" s="1633">
        <v>0</v>
      </c>
    </row>
    <row customHeight="1" ht="14.25" hidden="1">
      <c r="O22" s="1312"/>
      <c r="AL22" s="1643"/>
      <c r="AM22" s="1643"/>
      <c r="AN22" s="1643"/>
      <c r="AO22" s="1643"/>
      <c r="AP22" s="1643"/>
      <c r="AQ22" s="1633">
        <v>0</v>
      </c>
    </row>
    <row customHeight="1" ht="14.699999999999998">
      <c r="Q23" s="293"/>
      <c r="R23" s="378"/>
      <c r="S23" s="1277"/>
      <c r="T23" s="459"/>
      <c r="U23" s="459"/>
      <c r="V23" s="1637"/>
      <c r="W23" s="1637"/>
      <c r="X23" s="1637"/>
      <c r="Y23" s="1637"/>
      <c r="Z23" s="1637"/>
      <c r="AA23" s="1637"/>
      <c r="AB23" s="1637"/>
      <c r="AC23" s="1637"/>
      <c r="AD23" s="1637"/>
      <c r="AE23" s="1637"/>
      <c r="AF23" s="1637"/>
      <c r="AG23" s="1637"/>
      <c r="AH23" s="1637"/>
      <c r="AI23" s="1637"/>
      <c r="AQ23" s="1633">
        <v>14</v>
      </c>
    </row>
    <row customHeight="1" ht="39.75">
      <c r="Q24" s="293"/>
      <c r="R24" s="378"/>
      <c r="S24"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0"/>
      <c r="U24" s="2250"/>
      <c r="V24" s="2250"/>
      <c r="W24" s="2250"/>
      <c r="X24" s="2250"/>
      <c r="Y24" s="2250"/>
      <c r="Z24" s="2250"/>
      <c r="AA24" s="2250"/>
      <c r="AB24" s="2250"/>
      <c r="AC24" s="2250"/>
      <c r="AD24" s="2250"/>
      <c r="AE24" s="2250"/>
      <c r="AF24" s="2250"/>
      <c r="AG24" s="2250"/>
      <c r="AH24" s="2250"/>
      <c r="AI24" s="1245"/>
      <c r="AQ24" s="1633">
        <v>38</v>
      </c>
    </row>
    <row customHeight="1" ht="14.699999999999998">
      <c r="Q25" s="293"/>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633">
        <v>14</v>
      </c>
    </row>
    <row customHeight="1" ht="14.25" hidden="1">
      <c r="Q26" s="293"/>
      <c r="R26" s="378"/>
      <c r="S26" s="1277"/>
      <c r="T26" s="459"/>
      <c r="U26" s="459"/>
      <c r="V26" s="324"/>
      <c r="W26" s="324"/>
      <c r="X26" s="324"/>
      <c r="Y26" s="324"/>
      <c r="Z26" s="324"/>
      <c r="AA26" s="324"/>
      <c r="AB26" s="324"/>
      <c r="AC26" s="324"/>
      <c r="AD26" s="324"/>
      <c r="AE26" s="324"/>
      <c r="AF26" s="324"/>
      <c r="AG26" s="324"/>
      <c r="AH26" s="324"/>
      <c r="AI26" s="324"/>
      <c r="AJ26" s="1637"/>
      <c r="AQ26" s="1633">
        <v>0</v>
      </c>
    </row>
    <row s="1855" customFormat="1" customHeight="1" ht="25.5" hidden="1">
      <c r="A27" s="1250"/>
      <c r="B27" s="1250"/>
      <c r="C27" s="1250"/>
      <c r="D27" s="1250"/>
      <c r="E27" s="1250"/>
      <c r="F27" s="1250"/>
      <c r="G27" s="1250"/>
      <c r="H27" s="1250"/>
      <c r="I27" s="1250"/>
      <c r="J27" s="1250"/>
      <c r="K27" s="1250"/>
      <c r="L27" s="1382"/>
      <c r="M27" s="1250"/>
      <c r="N27" s="1250"/>
      <c r="O27" s="1250"/>
      <c r="P27" s="1370"/>
      <c r="Q27" s="1370"/>
      <c r="S27" s="2252" t="s">
        <v>42</v>
      </c>
      <c r="T27" s="2252"/>
      <c r="U27" s="1374"/>
      <c r="V27" s="2253" t="str">
        <f>IF(TITLE_NAME_OR_PR_CHANGE="",IF(TITLE_NAME_OR_PR="","",TITLE_NAME_OR_PR),TITLE_NAME_OR_PR_CHANGE)</f>
        <v/>
      </c>
      <c r="W27" s="2253"/>
      <c r="X27" s="2253"/>
      <c r="Y27" s="2253"/>
      <c r="Z27" s="2253"/>
      <c r="AA27" s="1637"/>
      <c r="AB27" s="1637"/>
      <c r="AC27" s="2253"/>
      <c r="AD27" s="2253"/>
      <c r="AE27" s="2253"/>
      <c r="AF27" s="2253"/>
      <c r="AG27" s="2253"/>
      <c r="AH27" s="2253"/>
      <c r="AI27" s="1637"/>
      <c r="AJ27" s="1637"/>
      <c r="AK27" s="282"/>
      <c r="AL27" s="370"/>
      <c r="AM27" s="370"/>
      <c r="AN27" s="370"/>
      <c r="AO27" s="370"/>
      <c r="AP27" s="370"/>
      <c r="AQ27" s="420">
        <v>0</v>
      </c>
    </row>
    <row s="1855" customFormat="1" customHeight="1" ht="18.75" hidden="1">
      <c r="A28" s="1250"/>
      <c r="B28" s="1250"/>
      <c r="C28" s="1250"/>
      <c r="D28" s="1250"/>
      <c r="E28" s="1250"/>
      <c r="F28" s="1250"/>
      <c r="G28" s="1250"/>
      <c r="H28" s="1250"/>
      <c r="I28" s="1250"/>
      <c r="J28" s="1250"/>
      <c r="K28" s="1250"/>
      <c r="L28" s="1382"/>
      <c r="M28" s="1250"/>
      <c r="N28" s="1250"/>
      <c r="O28" s="1250"/>
      <c r="P28" s="1370"/>
      <c r="Q28" s="1370"/>
      <c r="S28" s="2252" t="s">
        <v>423</v>
      </c>
      <c r="T28" s="2252"/>
      <c r="U28" s="1374"/>
      <c r="V28" s="2266" t="str">
        <f>IF(TITLE_DATE_PR_CHANGE="",IF(TITLE_DATE_PR="","",TITLE_DATE_PR),TITLE_DATE_PR_CHANGE)</f>
        <v/>
      </c>
      <c r="W28" s="2266"/>
      <c r="X28" s="2266"/>
      <c r="Y28" s="2266"/>
      <c r="Z28" s="2266"/>
      <c r="AA28" s="1637"/>
      <c r="AB28" s="1637"/>
      <c r="AC28" s="2266"/>
      <c r="AD28" s="2266"/>
      <c r="AE28" s="2266"/>
      <c r="AF28" s="2266"/>
      <c r="AG28" s="2266"/>
      <c r="AH28" s="2266"/>
      <c r="AI28" s="1637"/>
      <c r="AJ28" s="1637"/>
      <c r="AK28" s="282"/>
      <c r="AL28" s="370"/>
      <c r="AM28" s="370"/>
      <c r="AN28" s="370"/>
      <c r="AO28" s="370"/>
      <c r="AP28" s="370"/>
      <c r="AQ28" s="420">
        <v>0</v>
      </c>
    </row>
    <row s="1855" customFormat="1" customHeight="1" ht="18.75" hidden="1">
      <c r="A29" s="1250"/>
      <c r="B29" s="1250"/>
      <c r="C29" s="1250"/>
      <c r="D29" s="1250"/>
      <c r="E29" s="1250"/>
      <c r="F29" s="1250"/>
      <c r="G29" s="1250"/>
      <c r="H29" s="1250"/>
      <c r="I29" s="1250"/>
      <c r="J29" s="1250"/>
      <c r="K29" s="1250"/>
      <c r="L29" s="1382"/>
      <c r="M29" s="1250"/>
      <c r="N29" s="1250"/>
      <c r="O29" s="1250"/>
      <c r="P29" s="1370"/>
      <c r="Q29" s="1370"/>
      <c r="S29" s="2252" t="s">
        <v>424</v>
      </c>
      <c r="T29" s="2252"/>
      <c r="U29" s="1374"/>
      <c r="V29" s="2253" t="str">
        <f>IF(TITLE_NUMBER_PR_CHANGE="",IF(TITLE_NUMBER_PR="","",TITLE_NUMBER_PR),TITLE_NUMBER_PR_CHANGE)</f>
        <v/>
      </c>
      <c r="W29" s="2253"/>
      <c r="X29" s="2253"/>
      <c r="Y29" s="2253"/>
      <c r="Z29" s="2253"/>
      <c r="AA29" s="1637"/>
      <c r="AB29" s="1637"/>
      <c r="AC29" s="2253"/>
      <c r="AD29" s="2253"/>
      <c r="AE29" s="2253"/>
      <c r="AF29" s="2253"/>
      <c r="AG29" s="2253"/>
      <c r="AH29" s="2253"/>
      <c r="AI29" s="1637"/>
      <c r="AJ29" s="1637"/>
      <c r="AK29" s="282"/>
      <c r="AL29" s="370"/>
      <c r="AM29" s="370"/>
      <c r="AN29" s="370"/>
      <c r="AO29" s="370"/>
      <c r="AP29" s="370"/>
      <c r="AQ29" s="420">
        <v>0</v>
      </c>
    </row>
    <row s="1855" customFormat="1" customHeight="1" ht="18.75" hidden="1">
      <c r="A30" s="1250"/>
      <c r="B30" s="1250"/>
      <c r="C30" s="1250"/>
      <c r="D30" s="1250"/>
      <c r="E30" s="1250"/>
      <c r="F30" s="1250"/>
      <c r="G30" s="1250"/>
      <c r="H30" s="1250"/>
      <c r="I30" s="1250"/>
      <c r="J30" s="1250"/>
      <c r="K30" s="1250"/>
      <c r="L30" s="1382"/>
      <c r="M30" s="1250"/>
      <c r="N30" s="1250"/>
      <c r="O30" s="1250"/>
      <c r="P30" s="1370"/>
      <c r="Q30" s="1370"/>
      <c r="S30" s="2252" t="s">
        <v>43</v>
      </c>
      <c r="T30" s="2252"/>
      <c r="U30" s="1374"/>
      <c r="V30" s="2253" t="str">
        <f>IF(TITLE_IST_PUB_CHANGE="",IF(TITLE_IST_PUB="","",TITLE_IST_PUB),TITLE_IST_PUB_CHANGE)</f>
        <v/>
      </c>
      <c r="W30" s="2253"/>
      <c r="X30" s="2253"/>
      <c r="Y30" s="2253"/>
      <c r="Z30" s="2253"/>
      <c r="AA30" s="1637"/>
      <c r="AB30" s="1637"/>
      <c r="AC30" s="2253"/>
      <c r="AD30" s="2253"/>
      <c r="AE30" s="2253"/>
      <c r="AF30" s="2253"/>
      <c r="AG30" s="2253"/>
      <c r="AH30" s="2253"/>
      <c r="AI30" s="1637"/>
      <c r="AJ30" s="1637"/>
      <c r="AK30" s="282"/>
      <c r="AL30" s="370"/>
      <c r="AM30" s="370"/>
      <c r="AN30" s="370"/>
      <c r="AO30" s="370"/>
      <c r="AP30" s="370"/>
      <c r="AQ30" s="420">
        <v>0</v>
      </c>
    </row>
    <row customHeight="1" ht="14.25" hidden="1">
      <c r="Q31" s="293"/>
      <c r="R31" s="378"/>
      <c r="S31" s="1277"/>
      <c r="T31" s="459"/>
      <c r="U31" s="459"/>
      <c r="V31" s="324"/>
      <c r="W31" s="324"/>
      <c r="X31" s="324"/>
      <c r="Y31" s="324"/>
      <c r="Z31" s="324"/>
      <c r="AA31" s="324"/>
      <c r="AB31" s="324"/>
      <c r="AC31" s="324"/>
      <c r="AD31" s="324"/>
      <c r="AE31" s="324"/>
      <c r="AF31" s="324"/>
      <c r="AG31" s="324"/>
      <c r="AH31" s="324"/>
      <c r="AI31" s="324"/>
      <c r="AJ31" s="1637"/>
      <c r="AQ31" s="1633">
        <v>0</v>
      </c>
    </row>
    <row s="1855" customFormat="1" customHeight="1" ht="18.75" hidden="1">
      <c r="A32" s="1250"/>
      <c r="B32" s="1250"/>
      <c r="C32" s="1250"/>
      <c r="D32" s="1250"/>
      <c r="E32" s="1250"/>
      <c r="F32" s="1250"/>
      <c r="G32" s="1250"/>
      <c r="H32" s="1250"/>
      <c r="I32" s="1250"/>
      <c r="J32" s="1250"/>
      <c r="K32" s="1250"/>
      <c r="L32" s="1382"/>
      <c r="M32" s="1250"/>
      <c r="N32" s="1250"/>
      <c r="O32" s="1250"/>
      <c r="P32" s="1370"/>
      <c r="Q32" s="1370"/>
      <c r="S32" s="2252" t="s">
        <v>423</v>
      </c>
      <c r="T32" s="2252"/>
      <c r="U32" s="1374"/>
      <c r="V32" s="2266" t="str">
        <f>IF(TITLE_DATE_PR_CHANGE="",IF(TITLE_DATE_PR="","",TITLE_DATE_PR),TITLE_DATE_PR_CHANGE)</f>
        <v/>
      </c>
      <c r="W32" s="2266"/>
      <c r="X32" s="2266"/>
      <c r="Y32" s="2266"/>
      <c r="Z32" s="2266"/>
      <c r="AA32" s="1637"/>
      <c r="AB32" s="1637"/>
      <c r="AC32" s="2266"/>
      <c r="AD32" s="2266"/>
      <c r="AE32" s="2266"/>
      <c r="AF32" s="2266"/>
      <c r="AG32" s="2266"/>
      <c r="AH32" s="2266"/>
      <c r="AI32" s="1637"/>
      <c r="AJ32" s="1637"/>
      <c r="AK32" s="282"/>
      <c r="AL32" s="370"/>
      <c r="AM32" s="370"/>
      <c r="AN32" s="370"/>
      <c r="AO32" s="370"/>
      <c r="AP32" s="370"/>
      <c r="AQ32" s="420">
        <v>0</v>
      </c>
    </row>
    <row s="1855" customFormat="1" customHeight="1" ht="18" hidden="1">
      <c r="A33" s="1250"/>
      <c r="B33" s="1250"/>
      <c r="C33" s="1250"/>
      <c r="D33" s="1250"/>
      <c r="E33" s="1250"/>
      <c r="F33" s="1250"/>
      <c r="G33" s="1250"/>
      <c r="H33" s="1250"/>
      <c r="I33" s="1250"/>
      <c r="J33" s="1250"/>
      <c r="K33" s="1250"/>
      <c r="L33" s="1382"/>
      <c r="M33" s="1250"/>
      <c r="N33" s="1250"/>
      <c r="O33" s="1250"/>
      <c r="P33" s="1370"/>
      <c r="Q33" s="1370"/>
      <c r="S33" s="2252" t="s">
        <v>424</v>
      </c>
      <c r="T33" s="2252"/>
      <c r="U33" s="1374"/>
      <c r="V33" s="2253" t="str">
        <f>IF(TITLE_NUMBER_PR_CHANGE="",IF(TITLE_NUMBER_PR="","",TITLE_NUMBER_PR),TITLE_NUMBER_PR_CHANGE)</f>
        <v/>
      </c>
      <c r="W33" s="2253"/>
      <c r="X33" s="2253"/>
      <c r="Y33" s="2253"/>
      <c r="Z33" s="2253"/>
      <c r="AA33" s="1637"/>
      <c r="AB33" s="1637"/>
      <c r="AC33" s="2253"/>
      <c r="AD33" s="2253"/>
      <c r="AE33" s="2253"/>
      <c r="AF33" s="2253"/>
      <c r="AG33" s="2253"/>
      <c r="AH33" s="2253"/>
      <c r="AI33" s="1637"/>
      <c r="AJ33" s="1637"/>
      <c r="AK33" s="282"/>
      <c r="AL33" s="370"/>
      <c r="AM33" s="370"/>
      <c r="AN33" s="370"/>
      <c r="AO33" s="370"/>
      <c r="AP33" s="370"/>
      <c r="AQ33" s="420">
        <v>0</v>
      </c>
    </row>
    <row s="1855" customFormat="1" customHeight="1" ht="1.05">
      <c r="A34" s="1250"/>
      <c r="B34" s="1250"/>
      <c r="C34" s="1250"/>
      <c r="D34" s="1250"/>
      <c r="E34" s="1250"/>
      <c r="F34" s="1250"/>
      <c r="G34" s="1250"/>
      <c r="H34" s="1250"/>
      <c r="I34" s="1250"/>
      <c r="J34" s="1250"/>
      <c r="K34" s="1250"/>
      <c r="L34" s="1382"/>
      <c r="M34" s="1250"/>
      <c r="N34" s="1250"/>
      <c r="O34" s="1250"/>
      <c r="P34" s="1370"/>
      <c r="Q34" s="1370"/>
      <c r="S34" s="1637"/>
      <c r="T34" s="1637"/>
      <c r="U34" s="1972"/>
      <c r="V34" s="1637"/>
      <c r="W34" s="1637"/>
      <c r="X34" s="1637"/>
      <c r="Y34" s="1637"/>
      <c r="Z34" s="1637"/>
      <c r="AA34" s="1644" t="s">
        <v>427</v>
      </c>
      <c r="AB34" s="1644"/>
      <c r="AC34" s="1637"/>
      <c r="AD34" s="1637"/>
      <c r="AE34" s="1637"/>
      <c r="AF34" s="1637"/>
      <c r="AG34" s="1637"/>
      <c r="AH34" s="1637"/>
      <c r="AI34" s="1644" t="s">
        <v>427</v>
      </c>
      <c r="AL34" s="370"/>
      <c r="AM34" s="370"/>
      <c r="AN34" s="370"/>
      <c r="AO34" s="370"/>
      <c r="AP34" s="370"/>
      <c r="AQ34" s="420">
        <v>1</v>
      </c>
    </row>
    <row customHeight="1" ht="14.699999999999998">
      <c r="Q35" s="293"/>
      <c r="R35" s="378"/>
      <c r="S35" s="1277"/>
      <c r="T35" s="459"/>
      <c r="U35" s="1246"/>
      <c r="V35" s="2254"/>
      <c r="W35" s="2254"/>
      <c r="X35" s="2254"/>
      <c r="Y35" s="2254"/>
      <c r="Z35" s="2254"/>
      <c r="AA35" s="2254"/>
      <c r="AB35" s="1959"/>
      <c r="AC35" s="2254"/>
      <c r="AD35" s="2254"/>
      <c r="AE35" s="2254"/>
      <c r="AF35" s="2254"/>
      <c r="AG35" s="2254"/>
      <c r="AH35" s="2254"/>
      <c r="AI35" s="2254"/>
      <c r="AQ35" s="1633">
        <v>14</v>
      </c>
    </row>
    <row customHeight="1" ht="14.699999999999998">
      <c r="Q36" s="293"/>
      <c r="R36" s="378"/>
      <c r="S36" s="2129" t="s">
        <v>300</v>
      </c>
      <c r="T36" s="2129"/>
      <c r="U36" s="2129"/>
      <c r="V36" s="2129"/>
      <c r="W36" s="2129"/>
      <c r="X36" s="2129"/>
      <c r="Y36" s="2129"/>
      <c r="Z36" s="2129"/>
      <c r="AA36" s="2177"/>
      <c r="AB36" s="2177"/>
      <c r="AC36" s="2177"/>
      <c r="AD36" s="2129"/>
      <c r="AE36" s="2129"/>
      <c r="AF36" s="2129"/>
      <c r="AG36" s="2129"/>
      <c r="AH36" s="2129"/>
      <c r="AI36" s="2129"/>
      <c r="AJ36" s="2129"/>
      <c r="AK36" s="2129" t="s">
        <v>301</v>
      </c>
      <c r="AQ36" s="1633">
        <v>14</v>
      </c>
    </row>
    <row customHeight="1" ht="14.699999999999998">
      <c r="Q37" s="293"/>
      <c r="R37" s="378"/>
      <c r="S37" s="2275" t="s">
        <v>88</v>
      </c>
      <c r="T37" s="2211" t="s">
        <v>499</v>
      </c>
      <c r="U37" s="339"/>
      <c r="V37" s="2277"/>
      <c r="W37" s="2277"/>
      <c r="X37" s="2277"/>
      <c r="Y37" s="2277"/>
      <c r="Z37" s="2277"/>
      <c r="AA37" s="2211" t="s">
        <v>430</v>
      </c>
      <c r="AB37" s="2210" t="s">
        <v>500</v>
      </c>
      <c r="AC37" s="2210" t="s">
        <v>474</v>
      </c>
      <c r="AD37" s="2293" t="s">
        <v>429</v>
      </c>
      <c r="AE37" s="2293"/>
      <c r="AF37" s="2277"/>
      <c r="AG37" s="2277"/>
      <c r="AH37" s="2278"/>
      <c r="AI37" s="2279" t="s">
        <v>430</v>
      </c>
      <c r="AJ37" s="2282" t="s">
        <v>432</v>
      </c>
      <c r="AK37" s="2129"/>
      <c r="AQ37" s="1633">
        <v>14</v>
      </c>
    </row>
    <row customHeight="1" ht="35.699999999999996">
      <c r="Q38" s="293"/>
      <c r="R38" s="378"/>
      <c r="S38" s="2275"/>
      <c r="T38" s="2211"/>
      <c r="U38" s="1033"/>
      <c r="V38" s="2105" t="s">
        <v>477</v>
      </c>
      <c r="W38" s="2129"/>
      <c r="X38" s="2296" t="s">
        <v>436</v>
      </c>
      <c r="Y38" s="2315"/>
      <c r="Z38" s="2315"/>
      <c r="AA38" s="2211"/>
      <c r="AB38" s="2210"/>
      <c r="AC38" s="2210"/>
      <c r="AD38" s="2105" t="s">
        <v>477</v>
      </c>
      <c r="AE38" s="2129"/>
      <c r="AF38" s="2315" t="s">
        <v>436</v>
      </c>
      <c r="AG38" s="2315"/>
      <c r="AH38" s="2316"/>
      <c r="AI38" s="2280"/>
      <c r="AJ38" s="2283"/>
      <c r="AK38" s="2129"/>
      <c r="AQ38" s="1633">
        <v>34</v>
      </c>
    </row>
    <row customHeight="1" ht="14.699999999999998">
      <c r="Q39" s="293"/>
      <c r="R39" s="378"/>
      <c r="S39" s="2275"/>
      <c r="T39" s="2211"/>
      <c r="U39" s="1033"/>
      <c r="V39" s="2342" t="str">
        <f>IF($AD$39&lt;&gt;"",$AD$39,"")</f>
        <v/>
      </c>
      <c r="W39" s="2342"/>
      <c r="X39" s="2297"/>
      <c r="Y39" s="2317"/>
      <c r="Z39" s="2317"/>
      <c r="AA39" s="2211"/>
      <c r="AB39" s="2210"/>
      <c r="AC39" s="2210"/>
      <c r="AD39" s="2358"/>
      <c r="AE39" s="2341"/>
      <c r="AF39" s="2317"/>
      <c r="AG39" s="2317"/>
      <c r="AH39" s="2318"/>
      <c r="AI39" s="2280"/>
      <c r="AJ39" s="2283"/>
      <c r="AK39" s="2129"/>
      <c r="AQ39" s="1633">
        <v>14</v>
      </c>
    </row>
    <row customHeight="1" ht="14.699999999999998">
      <c r="A40" s="1268"/>
      <c r="B40" s="1268" t="s">
        <v>137</v>
      </c>
      <c r="C40" s="1268" t="s">
        <v>138</v>
      </c>
      <c r="D40" s="1268" t="s">
        <v>139</v>
      </c>
      <c r="E40" s="1312" t="s">
        <v>437</v>
      </c>
      <c r="F40" s="1312" t="s">
        <v>438</v>
      </c>
      <c r="G40" s="1312" t="s">
        <v>439</v>
      </c>
      <c r="H40" s="1312" t="s">
        <v>440</v>
      </c>
      <c r="I40" s="1312" t="s">
        <v>441</v>
      </c>
      <c r="J40" s="1312" t="s">
        <v>442</v>
      </c>
      <c r="K40" s="1312" t="s">
        <v>443</v>
      </c>
      <c r="L40" s="1312" t="s">
        <v>418</v>
      </c>
      <c r="Q40" s="293"/>
      <c r="R40" s="378"/>
      <c r="S40" s="2275"/>
      <c r="T40" s="2211"/>
      <c r="U40" s="304"/>
      <c r="V40" s="1952" t="s">
        <v>478</v>
      </c>
      <c r="W40" s="1952" t="s">
        <v>479</v>
      </c>
      <c r="X40" s="1940" t="s">
        <v>446</v>
      </c>
      <c r="Y40" s="2272" t="s">
        <v>447</v>
      </c>
      <c r="Z40" s="2322"/>
      <c r="AA40" s="2211"/>
      <c r="AB40" s="2210"/>
      <c r="AC40" s="2210"/>
      <c r="AD40" s="1970" t="s">
        <v>478</v>
      </c>
      <c r="AE40" s="1961" t="s">
        <v>479</v>
      </c>
      <c r="AF40" s="1940" t="s">
        <v>446</v>
      </c>
      <c r="AG40" s="2272" t="s">
        <v>447</v>
      </c>
      <c r="AH40" s="2273"/>
      <c r="AI40" s="2281"/>
      <c r="AJ40" s="2284"/>
      <c r="AK40" s="2129"/>
      <c r="AQ40" s="1633">
        <v>14</v>
      </c>
    </row>
    <row s="1643" customFormat="1" customHeight="1" ht="11.25" hidden="1">
      <c r="A41" s="1268"/>
      <c r="B41" s="1268"/>
      <c r="C41" s="1268"/>
      <c r="D41" s="1268"/>
      <c r="E41" s="1268"/>
      <c r="F41" s="1268"/>
      <c r="G41" s="1268"/>
      <c r="H41" s="1268"/>
      <c r="I41" s="1268"/>
      <c r="J41" s="1268"/>
      <c r="K41" s="1268"/>
      <c r="L41" s="1312"/>
      <c r="M41" s="1967"/>
      <c r="N41" s="1967"/>
      <c r="O41" s="1967"/>
      <c r="P41" s="512"/>
      <c r="Q41" s="1256"/>
      <c r="R41" s="1256">
        <v>1</v>
      </c>
      <c r="S41" s="1279" t="s">
        <v>109</v>
      </c>
      <c r="T41" s="1257" t="s">
        <v>110</v>
      </c>
      <c r="U41" s="1247" t="str">
        <f>OFFSET(U41,0,-1)</f>
        <v>2</v>
      </c>
      <c r="V41" s="1958">
        <f>OFFSET(V41,0,-1)+1</f>
        <v>3</v>
      </c>
      <c r="W41" s="1958">
        <f>OFFSET(W41,0,-1)+1</f>
        <v>4</v>
      </c>
      <c r="X41" s="1958">
        <f>OFFSET(X41,0,-1)+1</f>
        <v>5</v>
      </c>
      <c r="Y41" s="2274">
        <f>OFFSET(Y41,0,-1)+1</f>
        <v>6</v>
      </c>
      <c r="Z41" s="2274"/>
      <c r="AA41" s="1343">
        <f>OFFSET(AA41,0,-2)+1</f>
        <v>7</v>
      </c>
      <c r="AB41" s="1343"/>
      <c r="AC41" s="1343"/>
      <c r="AD41" s="1958">
        <f>OFFSET(AD41,0,-1)+1</f>
        <v>1</v>
      </c>
      <c r="AE41" s="1958">
        <f>OFFSET(AE41,0,-1)+1</f>
        <v>2</v>
      </c>
      <c r="AF41" s="1958">
        <f>OFFSET(AF41,0,-1)+1</f>
        <v>3</v>
      </c>
      <c r="AG41" s="2274">
        <f>OFFSET(AG41,0,-1)+1</f>
        <v>4</v>
      </c>
      <c r="AH41" s="2274"/>
      <c r="AI41" s="1958">
        <f>OFFSET(AI41,0,-2)+1</f>
        <v>5</v>
      </c>
      <c r="AJ41" s="1247">
        <f>OFFSET(AJ41,0,-1)</f>
        <v>5</v>
      </c>
      <c r="AK41" s="1958">
        <f>OFFSET(AK41,0,-1)+1</f>
        <v>6</v>
      </c>
      <c r="AL41" s="1638"/>
      <c r="AM41" s="1638"/>
      <c r="AN41" s="1638"/>
      <c r="AO41" s="1638"/>
      <c r="AP41" s="1638"/>
      <c r="AQ41" s="1643">
        <v>0</v>
      </c>
    </row>
    <row customHeight="1" ht="107.25">
      <c r="A42" s="1269" t="s">
        <v>206</v>
      </c>
      <c r="B42" s="1269"/>
      <c r="C42" s="1269"/>
      <c r="D42" s="1269"/>
      <c r="E42" s="2291">
        <v>1</v>
      </c>
      <c r="F42" s="1269"/>
      <c r="G42" s="1269"/>
      <c r="H42" s="1269"/>
      <c r="I42" s="1269"/>
      <c r="J42" s="1269"/>
      <c r="K42" s="1269"/>
      <c r="L42" s="1312"/>
      <c r="M42" s="1612"/>
      <c r="N42" s="1612"/>
      <c r="O42" s="1612"/>
      <c r="P42" s="1411"/>
      <c r="Q42" s="875"/>
      <c r="R42" s="357"/>
      <c r="S42" s="1960">
        <f>INDEX(PT_DIFFERENTIATION_NUM_NTAR,MATCH(A42,PT_DIFFERENTIATION_NTAR_ID,0))</f>
        <v>0</v>
      </c>
      <c r="T42" s="1527" t="s">
        <v>125</v>
      </c>
      <c r="U42" s="302"/>
      <c r="V42" s="2245"/>
      <c r="W42" s="2245"/>
      <c r="X42" s="2245"/>
      <c r="Y42" s="2245"/>
      <c r="Z42" s="2245"/>
      <c r="AA42" s="2246"/>
      <c r="AB42" s="1954"/>
      <c r="AC42" s="2245" t="str">
        <f>INDEX(PT_DIFFERENTIATION_NTAR,MATCH(A42,PT_DIFFERENTIATION_NTAR_ID,0))</f>
        <v/>
      </c>
      <c r="AD42" s="2245"/>
      <c r="AE42" s="2245"/>
      <c r="AF42" s="2245"/>
      <c r="AG42" s="2245"/>
      <c r="AH42" s="2245"/>
      <c r="AI42" s="2245"/>
      <c r="AJ42" s="2246"/>
      <c r="AK42"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6"/>
      <c r="AN42" s="1626" t="str">
        <f>IF(T42="","",T42)</f>
        <v>Наименование тарифа</v>
      </c>
      <c r="AO42" s="1626"/>
      <c r="AP42" s="1626"/>
      <c r="AQ42" s="1633">
        <v>102</v>
      </c>
    </row>
    <row customHeight="1" ht="22.049999999999997">
      <c r="A43" s="1269" t="s">
        <v>206</v>
      </c>
      <c r="B43" s="1269" t="s">
        <v>207</v>
      </c>
      <c r="C43" s="1269"/>
      <c r="D43" s="1269"/>
      <c r="E43" s="2292"/>
      <c r="F43" s="2291">
        <v>1</v>
      </c>
      <c r="G43" s="1269"/>
      <c r="H43" s="1269"/>
      <c r="I43" s="1269"/>
      <c r="J43" s="1269"/>
      <c r="K43" s="1269"/>
      <c r="L43" s="1312"/>
      <c r="M43" s="1612"/>
      <c r="N43" s="1612"/>
      <c r="O43" s="1612"/>
      <c r="P43" s="1971"/>
      <c r="Q43" s="1413"/>
      <c r="R43" s="355"/>
      <c r="S43" s="1960" t="str">
        <f>INDEX(PT_DIFFERENTIATION_NUM_TER,MATCH(B43,PT_DIFFERENTIATION_TER_ID,0))</f>
        <v>.</v>
      </c>
      <c r="T43" s="1524" t="s">
        <v>397</v>
      </c>
      <c r="U43" s="302"/>
      <c r="V43" s="2245"/>
      <c r="W43" s="2245"/>
      <c r="X43" s="2245"/>
      <c r="Y43" s="2245"/>
      <c r="Z43" s="2245"/>
      <c r="AA43" s="2246"/>
      <c r="AB43" s="1954"/>
      <c r="AC43" s="2245" t="str">
        <f>INDEX(PT_DIFFERENTIATION_TER,MATCH(B43,PT_DIFFERENTIATION_TER_ID,0))</f>
        <v/>
      </c>
      <c r="AD43" s="2245"/>
      <c r="AE43" s="2245"/>
      <c r="AF43" s="2245"/>
      <c r="AG43" s="2245"/>
      <c r="AH43" s="2245"/>
      <c r="AI43" s="2245"/>
      <c r="AJ43" s="2246"/>
      <c r="AK43" s="1260" t="s">
        <v>398</v>
      </c>
      <c r="AM43" s="1626"/>
      <c r="AN43" s="1626" t="str">
        <f>IF(T43="","",T43)</f>
        <v>Территория действия тарифа</v>
      </c>
      <c r="AO43" s="1626"/>
      <c r="AP43" s="1626"/>
      <c r="AQ43" s="1633">
        <v>21</v>
      </c>
    </row>
    <row customHeight="1" ht="24">
      <c r="A44" s="1269" t="s">
        <v>206</v>
      </c>
      <c r="B44" s="1269" t="s">
        <v>207</v>
      </c>
      <c r="C44" s="1269" t="s">
        <v>208</v>
      </c>
      <c r="D44" s="1269"/>
      <c r="E44" s="2292"/>
      <c r="F44" s="2292"/>
      <c r="G44" s="2291">
        <v>1</v>
      </c>
      <c r="H44" s="1269"/>
      <c r="I44" s="1269"/>
      <c r="J44" s="1269"/>
      <c r="K44" s="1269"/>
      <c r="L44" s="1312"/>
      <c r="M44" s="1612"/>
      <c r="N44" s="1612"/>
      <c r="O44" s="1612"/>
      <c r="P44" s="1414"/>
      <c r="Q44" s="1413"/>
      <c r="R44" s="355"/>
      <c r="S44" s="1960" t="str">
        <f>INDEX(PT_DIFFERENTIATION_NUM_CS,MATCH(C44,PT_DIFFERENTIATION_CS_ID,0))</f>
        <v>..</v>
      </c>
      <c r="T44" s="311" t="s">
        <v>399</v>
      </c>
      <c r="U44" s="302"/>
      <c r="V44" s="2245"/>
      <c r="W44" s="2245"/>
      <c r="X44" s="2245"/>
      <c r="Y44" s="2245"/>
      <c r="Z44" s="2245"/>
      <c r="AA44" s="2246"/>
      <c r="AB44" s="1954"/>
      <c r="AC44" s="2245" t="str">
        <f>INDEX(PT_DIFFERENTIATION_CS,MATCH(C44,PT_DIFFERENTIATION_CS_ID,0))</f>
        <v/>
      </c>
      <c r="AD44" s="2245"/>
      <c r="AE44" s="2245"/>
      <c r="AF44" s="2245"/>
      <c r="AG44" s="2245"/>
      <c r="AH44" s="2245"/>
      <c r="AI44" s="2245"/>
      <c r="AJ44" s="2246"/>
      <c r="AK44" s="1260" t="s">
        <v>400</v>
      </c>
      <c r="AM44" s="1626"/>
      <c r="AN44" s="1626" t="str">
        <f>IF(T44="","",T44)</f>
        <v>Наименование системы теплоснабжения </v>
      </c>
      <c r="AO44" s="1626"/>
      <c r="AP44" s="1626"/>
      <c r="AQ44" s="1633">
        <v>23</v>
      </c>
    </row>
    <row customHeight="1" ht="22.049999999999997">
      <c r="A45" s="1269" t="s">
        <v>206</v>
      </c>
      <c r="B45" s="1269" t="s">
        <v>207</v>
      </c>
      <c r="C45" s="1269" t="s">
        <v>208</v>
      </c>
      <c r="D45" s="1269" t="s">
        <v>209</v>
      </c>
      <c r="E45" s="2292"/>
      <c r="F45" s="2292"/>
      <c r="G45" s="2292"/>
      <c r="H45" s="2291">
        <v>1</v>
      </c>
      <c r="I45" s="1269"/>
      <c r="J45" s="1269"/>
      <c r="K45" s="1269"/>
      <c r="L45" s="1312"/>
      <c r="M45" s="1612"/>
      <c r="N45" s="1612"/>
      <c r="O45" s="1612"/>
      <c r="P45" s="1414"/>
      <c r="Q45" s="1413"/>
      <c r="R45" s="355"/>
      <c r="S45" s="1960" t="str">
        <f>INDEX(PT_DIFFERENTIATION_NUM_IST_TE,MATCH(D45,PT_DIFFERENTIATION_IST_TE_ID,0))</f>
        <v>...</v>
      </c>
      <c r="T45" s="312" t="s">
        <v>401</v>
      </c>
      <c r="U45" s="302"/>
      <c r="V45" s="2245"/>
      <c r="W45" s="2245"/>
      <c r="X45" s="2245"/>
      <c r="Y45" s="2245"/>
      <c r="Z45" s="2245"/>
      <c r="AA45" s="2246"/>
      <c r="AB45" s="1954"/>
      <c r="AC45" s="2245" t="str">
        <f>INDEX(PT_DIFFERENTIATION_IST_TE,MATCH(D45,PT_DIFFERENTIATION_IST_TE_ID,0))</f>
        <v/>
      </c>
      <c r="AD45" s="2245"/>
      <c r="AE45" s="2245"/>
      <c r="AF45" s="2245"/>
      <c r="AG45" s="2245"/>
      <c r="AH45" s="2245"/>
      <c r="AI45" s="2245"/>
      <c r="AJ45" s="2246"/>
      <c r="AK45" s="1260" t="s">
        <v>402</v>
      </c>
      <c r="AM45" s="1626"/>
      <c r="AN45" s="1626" t="str">
        <f>IF(T45="","",T45)</f>
        <v>Источник тепловой энергии  </v>
      </c>
      <c r="AO45" s="1626"/>
      <c r="AP45" s="1626"/>
      <c r="AQ45" s="1633">
        <v>21</v>
      </c>
    </row>
    <row s="1644" customFormat="1" customHeight="1" ht="0">
      <c r="A46" s="1377" t="s">
        <v>206</v>
      </c>
      <c r="B46" s="1377" t="s">
        <v>207</v>
      </c>
      <c r="C46" s="1377" t="s">
        <v>208</v>
      </c>
      <c r="D46" s="1377" t="s">
        <v>209</v>
      </c>
      <c r="E46" s="2292"/>
      <c r="F46" s="2292"/>
      <c r="G46" s="2292"/>
      <c r="H46" s="2292"/>
      <c r="I46" s="2129" t="str">
        <f>S45&amp;".1"</f>
        <v>....1</v>
      </c>
      <c r="J46" s="1377"/>
      <c r="K46" s="1377"/>
      <c r="L46" s="1383" t="s">
        <v>403</v>
      </c>
      <c r="M46" s="1248"/>
      <c r="N46" s="1248"/>
      <c r="O46" s="1248"/>
      <c r="P46" s="2259">
        <v>1</v>
      </c>
      <c r="Q46" s="1956"/>
      <c r="R46" s="358"/>
      <c r="S46" s="1044"/>
      <c r="T46" s="1385"/>
      <c r="U46" s="1386"/>
      <c r="V46" s="2299"/>
      <c r="W46" s="2299"/>
      <c r="X46" s="2299"/>
      <c r="Y46" s="2299"/>
      <c r="Z46" s="2299"/>
      <c r="AA46" s="2300"/>
      <c r="AB46" s="1962"/>
      <c r="AC46" s="2299"/>
      <c r="AD46" s="2299"/>
      <c r="AE46" s="2299"/>
      <c r="AF46" s="2299"/>
      <c r="AG46" s="2299"/>
      <c r="AH46" s="2299"/>
      <c r="AI46" s="2299"/>
      <c r="AJ46" s="2300"/>
      <c r="AK46" s="1387"/>
      <c r="AM46" s="1626"/>
      <c r="AN46" s="1626" t="str">
        <f>IF(T46="","",T46)</f>
        <v/>
      </c>
      <c r="AO46" s="1626"/>
      <c r="AP46" s="1626"/>
      <c r="AQ46" s="1638">
        <v>0</v>
      </c>
    </row>
    <row s="1644" customFormat="1" customHeight="1" ht="0">
      <c r="A47" s="1377" t="s">
        <v>206</v>
      </c>
      <c r="B47" s="1377" t="s">
        <v>207</v>
      </c>
      <c r="C47" s="1377" t="s">
        <v>208</v>
      </c>
      <c r="D47" s="1377" t="s">
        <v>209</v>
      </c>
      <c r="E47" s="2292"/>
      <c r="F47" s="2292"/>
      <c r="G47" s="2292"/>
      <c r="H47" s="2292"/>
      <c r="I47" s="2103"/>
      <c r="J47" s="2129" t="str">
        <f>S45&amp;".1"</f>
        <v>....1</v>
      </c>
      <c r="K47" s="1377"/>
      <c r="L47" s="1383"/>
      <c r="M47" s="1248"/>
      <c r="N47" s="1248"/>
      <c r="O47" s="1248"/>
      <c r="P47" s="2259"/>
      <c r="Q47" s="2259">
        <v>1</v>
      </c>
      <c r="R47" s="359"/>
      <c r="S47" s="1044"/>
      <c r="T47" s="1401"/>
      <c r="U47" s="1386"/>
      <c r="V47" s="2299"/>
      <c r="W47" s="2299"/>
      <c r="X47" s="2299"/>
      <c r="Y47" s="2299"/>
      <c r="Z47" s="2299"/>
      <c r="AA47" s="2300"/>
      <c r="AB47" s="1962"/>
      <c r="AC47" s="2299"/>
      <c r="AD47" s="2299"/>
      <c r="AE47" s="2299"/>
      <c r="AF47" s="2299"/>
      <c r="AG47" s="2299"/>
      <c r="AH47" s="2299"/>
      <c r="AI47" s="2299"/>
      <c r="AJ47" s="2300"/>
      <c r="AK47" s="1387"/>
      <c r="AM47" s="1626"/>
      <c r="AN47" s="1626" t="str">
        <f>IF(T47="","",T47)</f>
        <v/>
      </c>
      <c r="AO47" s="1626"/>
      <c r="AP47" s="1626"/>
      <c r="AQ47" s="1638">
        <v>0</v>
      </c>
    </row>
    <row customHeight="1" ht="22.049999999999997">
      <c r="A48" s="1269" t="s">
        <v>206</v>
      </c>
      <c r="B48" s="1269" t="s">
        <v>207</v>
      </c>
      <c r="C48" s="1269" t="s">
        <v>208</v>
      </c>
      <c r="D48" s="1269" t="s">
        <v>209</v>
      </c>
      <c r="E48" s="2292"/>
      <c r="F48" s="2292"/>
      <c r="G48" s="2292"/>
      <c r="H48" s="2292"/>
      <c r="I48" s="2103"/>
      <c r="J48" s="2103"/>
      <c r="K48" s="1943" t="str">
        <f>S45&amp;".1"</f>
        <v>....1</v>
      </c>
      <c r="L48" s="1312"/>
      <c r="P48" s="2259"/>
      <c r="Q48" s="2259"/>
      <c r="R48" s="359">
        <v>1</v>
      </c>
      <c r="S48" s="1964" t="str">
        <f>$K48</f>
        <v>....1</v>
      </c>
      <c r="T48" s="1963"/>
      <c r="U48" s="302"/>
      <c r="V48" s="753"/>
      <c r="W48" s="1259"/>
      <c r="X48" s="1957"/>
      <c r="Y48" s="1944" t="s">
        <v>66</v>
      </c>
      <c r="Z48" s="1957"/>
      <c r="AA48" s="1944" t="s">
        <v>66</v>
      </c>
      <c r="AB48" s="1966"/>
      <c r="AC48" s="1965" t="s">
        <v>22</v>
      </c>
      <c r="AD48" s="753"/>
      <c r="AE48" s="1259"/>
      <c r="AF48" s="1957"/>
      <c r="AG48" s="1944" t="s">
        <v>66</v>
      </c>
      <c r="AH48" s="1957"/>
      <c r="AI48" s="1944" t="s">
        <v>66</v>
      </c>
      <c r="AJ48" s="1350"/>
      <c r="AK48" s="2255" t="s">
        <v>480</v>
      </c>
      <c r="AL48" s="1638">
        <f>STRCHECKDATE(#REF!)</f>
      </c>
      <c r="AM48" s="1626"/>
      <c r="AN48" s="1626" t="str">
        <f>IF(T48="","",T48)</f>
        <v/>
      </c>
      <c r="AO48" s="1626"/>
      <c r="AP48" s="1626"/>
      <c r="AQ48" s="1633">
        <v>21</v>
      </c>
    </row>
    <row customHeight="1" ht="11.549999999999999">
      <c r="A49" s="1269" t="s">
        <v>206</v>
      </c>
      <c r="B49" s="1269" t="s">
        <v>207</v>
      </c>
      <c r="C49" s="1269" t="s">
        <v>208</v>
      </c>
      <c r="D49" s="1269" t="s">
        <v>209</v>
      </c>
      <c r="E49" s="2292"/>
      <c r="F49" s="2292"/>
      <c r="G49" s="2292"/>
      <c r="H49" s="2292"/>
      <c r="I49" s="2103"/>
      <c r="J49" s="2129"/>
      <c r="K49" s="1269"/>
      <c r="L49" s="1312"/>
      <c r="P49" s="2259"/>
      <c r="Q49" s="2259"/>
      <c r="R49" s="358"/>
      <c r="S49" s="1280"/>
      <c r="T49" s="289" t="s">
        <v>468</v>
      </c>
      <c r="U49" s="602"/>
      <c r="V49" s="602"/>
      <c r="W49" s="602"/>
      <c r="X49" s="602"/>
      <c r="Y49" s="602"/>
      <c r="Z49" s="602"/>
      <c r="AA49" s="326"/>
      <c r="AB49" s="602"/>
      <c r="AC49" s="602"/>
      <c r="AD49" s="602"/>
      <c r="AE49" s="602"/>
      <c r="AF49" s="602"/>
      <c r="AG49" s="602"/>
      <c r="AH49" s="602"/>
      <c r="AI49" s="602"/>
      <c r="AJ49" s="326"/>
      <c r="AK49" s="2257"/>
      <c r="AM49" s="1626"/>
      <c r="AN49" s="1626" t="str">
        <f>IF(T49="","",T49)</f>
        <v>Добавить строку</v>
      </c>
      <c r="AO49" s="1626"/>
      <c r="AP49" s="1626"/>
      <c r="AQ49" s="1633">
        <v>11</v>
      </c>
    </row>
    <row s="1644" customFormat="1" customHeight="1" ht="1.05">
      <c r="A50" s="1377" t="s">
        <v>206</v>
      </c>
      <c r="B50" s="1377" t="s">
        <v>207</v>
      </c>
      <c r="C50" s="1377" t="s">
        <v>208</v>
      </c>
      <c r="D50" s="1377" t="s">
        <v>209</v>
      </c>
      <c r="E50" s="2292"/>
      <c r="F50" s="2292"/>
      <c r="G50" s="2292"/>
      <c r="H50" s="2292"/>
      <c r="I50" s="2129"/>
      <c r="J50" s="1377"/>
      <c r="K50" s="1377"/>
      <c r="L50" s="1383"/>
      <c r="M50" s="1248"/>
      <c r="N50" s="1248"/>
      <c r="O50" s="1248"/>
      <c r="P50" s="2259"/>
      <c r="Q50" s="1956"/>
      <c r="R50" s="358"/>
      <c r="S50" s="1388"/>
      <c r="T50" s="1389" t="s">
        <v>412</v>
      </c>
      <c r="U50" s="1390"/>
      <c r="V50" s="1390"/>
      <c r="W50" s="1390"/>
      <c r="X50" s="1390"/>
      <c r="Y50" s="1390"/>
      <c r="Z50" s="1390"/>
      <c r="AA50" s="1390"/>
      <c r="AB50" s="1390"/>
      <c r="AC50" s="1390"/>
      <c r="AD50" s="1390"/>
      <c r="AE50" s="1390"/>
      <c r="AF50" s="1390"/>
      <c r="AG50" s="1390"/>
      <c r="AH50" s="1390"/>
      <c r="AI50" s="1390"/>
      <c r="AJ50" s="1390"/>
      <c r="AK50" s="1391"/>
      <c r="AM50" s="1626"/>
      <c r="AN50" s="1626" t="str">
        <f>IF(T50="","",T50)</f>
        <v>Добавить группу потребителей</v>
      </c>
      <c r="AO50" s="1626"/>
      <c r="AP50" s="1626"/>
      <c r="AQ50" s="1638">
        <v>1</v>
      </c>
    </row>
    <row s="1643" customFormat="1" customHeight="1" ht="1.05">
      <c r="A51" s="1377" t="s">
        <v>206</v>
      </c>
      <c r="B51" s="1377" t="s">
        <v>207</v>
      </c>
      <c r="C51" s="1377" t="s">
        <v>208</v>
      </c>
      <c r="D51" s="1377" t="s">
        <v>209</v>
      </c>
      <c r="E51" s="2292"/>
      <c r="F51" s="2292"/>
      <c r="G51" s="2292"/>
      <c r="H51" s="2291"/>
      <c r="I51" s="1377"/>
      <c r="J51" s="1377"/>
      <c r="K51" s="1377"/>
      <c r="L51" s="1383"/>
      <c r="M51" s="1380"/>
      <c r="N51" s="1380"/>
      <c r="O51" s="353"/>
      <c r="P51" s="382"/>
      <c r="Q51" s="1346"/>
      <c r="R51" s="1402"/>
      <c r="S51" s="1388"/>
      <c r="T51" s="1389"/>
      <c r="U51" s="1390"/>
      <c r="V51" s="1390"/>
      <c r="W51" s="1390"/>
      <c r="X51" s="1390"/>
      <c r="Y51" s="1390"/>
      <c r="Z51" s="1390"/>
      <c r="AA51" s="1390"/>
      <c r="AB51" s="1390"/>
      <c r="AC51" s="1390"/>
      <c r="AD51" s="1390"/>
      <c r="AE51" s="1390"/>
      <c r="AF51" s="1390"/>
      <c r="AG51" s="1390"/>
      <c r="AH51" s="1390"/>
      <c r="AI51" s="1390"/>
      <c r="AJ51" s="1390"/>
      <c r="AK51" s="1391"/>
      <c r="AL51" s="1638"/>
      <c r="AM51" s="1626"/>
      <c r="AN51" s="1626" t="str">
        <f>IF(T51="","",T51)</f>
        <v/>
      </c>
      <c r="AO51" s="1626"/>
      <c r="AP51" s="1626"/>
      <c r="AQ51" s="1643">
        <v>1</v>
      </c>
    </row>
    <row s="1644" customFormat="1" customHeight="1" ht="1.05">
      <c r="A52" s="1377" t="s">
        <v>206</v>
      </c>
      <c r="B52" s="1377" t="s">
        <v>207</v>
      </c>
      <c r="C52" s="1377" t="s">
        <v>208</v>
      </c>
      <c r="D52" s="1376"/>
      <c r="E52" s="2292"/>
      <c r="F52" s="2292"/>
      <c r="G52" s="2291"/>
      <c r="H52" s="1376"/>
      <c r="I52" s="1376"/>
      <c r="J52" s="1376"/>
      <c r="K52" s="1376"/>
      <c r="L52" s="1379"/>
      <c r="M52" s="1380"/>
      <c r="N52" s="1380"/>
      <c r="O52" s="353"/>
      <c r="P52" s="1318"/>
      <c r="Q52" s="1319"/>
      <c r="R52" s="1318"/>
      <c r="S52" s="1324"/>
      <c r="T52" s="1327" t="s">
        <v>414</v>
      </c>
      <c r="U52" s="1326"/>
      <c r="V52" s="1326"/>
      <c r="W52" s="1326"/>
      <c r="X52" s="1326"/>
      <c r="Y52" s="1326"/>
      <c r="Z52" s="1326"/>
      <c r="AA52" s="1326"/>
      <c r="AB52" s="1326"/>
      <c r="AC52" s="1326"/>
      <c r="AD52" s="1326"/>
      <c r="AE52" s="1326"/>
      <c r="AF52" s="1326"/>
      <c r="AG52" s="1326"/>
      <c r="AH52" s="1326"/>
      <c r="AI52" s="1326"/>
      <c r="AJ52" s="1326"/>
      <c r="AK52" s="1326"/>
      <c r="AM52" s="1253"/>
      <c r="AN52" s="1253" t="str">
        <f>IF(T52="","",T52)</f>
        <v>Добавить источник для дифференциации</v>
      </c>
      <c r="AO52" s="1253"/>
      <c r="AP52" s="1253"/>
      <c r="AQ52" s="1644">
        <v>1</v>
      </c>
    </row>
    <row s="1644" customFormat="1" customHeight="1" ht="1.05">
      <c r="A53" s="1377" t="s">
        <v>206</v>
      </c>
      <c r="B53" s="1377" t="s">
        <v>207</v>
      </c>
      <c r="C53" s="1376"/>
      <c r="D53" s="1376"/>
      <c r="E53" s="2292"/>
      <c r="F53" s="2291"/>
      <c r="G53" s="1376"/>
      <c r="H53" s="1376"/>
      <c r="I53" s="1376"/>
      <c r="J53" s="1376"/>
      <c r="K53" s="1376"/>
      <c r="L53" s="1379"/>
      <c r="M53" s="1381"/>
      <c r="N53" s="1381"/>
      <c r="O53" s="353"/>
      <c r="P53" s="1318"/>
      <c r="Q53" s="1319"/>
      <c r="R53" s="1318"/>
      <c r="S53" s="1324"/>
      <c r="T53" s="1327" t="s">
        <v>415</v>
      </c>
      <c r="U53" s="1326"/>
      <c r="V53" s="1326"/>
      <c r="W53" s="1326"/>
      <c r="X53" s="1326"/>
      <c r="Y53" s="1326"/>
      <c r="Z53" s="1326"/>
      <c r="AA53" s="1326"/>
      <c r="AB53" s="1326"/>
      <c r="AC53" s="1326"/>
      <c r="AD53" s="1326"/>
      <c r="AE53" s="1326"/>
      <c r="AF53" s="1326"/>
      <c r="AG53" s="1326"/>
      <c r="AH53" s="1326"/>
      <c r="AI53" s="1326"/>
      <c r="AJ53" s="1326"/>
      <c r="AK53" s="1326"/>
      <c r="AM53" s="1253"/>
      <c r="AN53" s="1253" t="str">
        <f>IF(T53="","",T53)</f>
        <v>Добавить централизованную систему для дифференциации</v>
      </c>
      <c r="AO53" s="1253"/>
      <c r="AP53" s="1253"/>
      <c r="AQ53" s="1644">
        <v>1</v>
      </c>
    </row>
    <row s="1644" customFormat="1" customHeight="1" ht="1.05">
      <c r="A54" s="1377" t="s">
        <v>206</v>
      </c>
      <c r="B54" s="1377"/>
      <c r="C54" s="1377"/>
      <c r="D54" s="1377"/>
      <c r="E54" s="2292"/>
      <c r="F54" s="1377"/>
      <c r="G54" s="1377"/>
      <c r="H54" s="1377"/>
      <c r="I54" s="1377"/>
      <c r="J54" s="1377"/>
      <c r="K54" s="1377"/>
      <c r="L54" s="1383"/>
      <c r="M54" s="1381"/>
      <c r="N54" s="1381"/>
      <c r="O54" s="353"/>
      <c r="P54" s="382"/>
      <c r="Q54" s="1346"/>
      <c r="R54" s="382"/>
      <c r="S54" s="1324"/>
      <c r="T54" s="1327" t="s">
        <v>416</v>
      </c>
      <c r="U54" s="1326"/>
      <c r="V54" s="1326"/>
      <c r="W54" s="1326"/>
      <c r="X54" s="1326"/>
      <c r="Y54" s="1326"/>
      <c r="Z54" s="1326"/>
      <c r="AA54" s="1326"/>
      <c r="AB54" s="1326"/>
      <c r="AC54" s="1326"/>
      <c r="AD54" s="1326"/>
      <c r="AE54" s="1326"/>
      <c r="AF54" s="1326"/>
      <c r="AG54" s="1326"/>
      <c r="AH54" s="1326"/>
      <c r="AI54" s="1326"/>
      <c r="AJ54" s="1326"/>
      <c r="AK54" s="1326"/>
      <c r="AM54" s="1626"/>
      <c r="AN54" s="1626" t="str">
        <f>IF(T54="","",T54)</f>
        <v>Добавить территорию для дифференциации</v>
      </c>
      <c r="AO54" s="1626"/>
      <c r="AP54" s="1626"/>
      <c r="AQ54" s="1638">
        <v>1</v>
      </c>
    </row>
    <row s="1644" customFormat="1" customHeight="1" ht="1.05">
      <c r="A55" s="1377" t="s">
        <v>206</v>
      </c>
      <c r="B55" s="1377"/>
      <c r="C55" s="1377"/>
      <c r="D55" s="1377"/>
      <c r="E55" s="2291"/>
      <c r="F55" s="1377"/>
      <c r="G55" s="1377"/>
      <c r="H55" s="1377"/>
      <c r="I55" s="1377"/>
      <c r="J55" s="1377"/>
      <c r="K55" s="1377"/>
      <c r="L55" s="1383"/>
      <c r="M55" s="1381"/>
      <c r="N55" s="1381"/>
      <c r="O55" s="353"/>
      <c r="P55" s="382"/>
      <c r="Q55" s="1346"/>
      <c r="R55" s="382"/>
      <c r="S55" s="1324"/>
      <c r="T55" s="1327" t="s">
        <v>416</v>
      </c>
      <c r="U55" s="1326"/>
      <c r="V55" s="1326"/>
      <c r="W55" s="1326"/>
      <c r="X55" s="1326"/>
      <c r="Y55" s="1326"/>
      <c r="Z55" s="1326"/>
      <c r="AA55" s="1326"/>
      <c r="AB55" s="1326"/>
      <c r="AC55" s="1326"/>
      <c r="AD55" s="1326"/>
      <c r="AE55" s="1326"/>
      <c r="AF55" s="1326"/>
      <c r="AG55" s="1326"/>
      <c r="AH55" s="1326"/>
      <c r="AI55" s="1326"/>
      <c r="AJ55" s="1326"/>
      <c r="AK55" s="1326"/>
      <c r="AM55" s="1626"/>
      <c r="AN55" s="1626" t="str">
        <f>IF(T55="","",T55)</f>
        <v>Добавить территорию для дифференциации</v>
      </c>
      <c r="AO55" s="1626"/>
      <c r="AP55" s="1626"/>
      <c r="AQ55" s="1638">
        <v>1</v>
      </c>
    </row>
    <row s="1644" customFormat="1" customHeight="1" ht="1.05">
      <c r="A56" s="1376"/>
      <c r="B56" s="1376"/>
      <c r="C56" s="1376"/>
      <c r="D56" s="1376"/>
      <c r="E56" s="1377"/>
      <c r="F56" s="1376"/>
      <c r="G56" s="1376"/>
      <c r="H56" s="1376"/>
      <c r="I56" s="1376"/>
      <c r="J56" s="1376"/>
      <c r="K56" s="1376"/>
      <c r="L56" s="1379"/>
      <c r="M56" s="1381"/>
      <c r="N56" s="1381"/>
      <c r="O56" s="353"/>
      <c r="P56" s="1318"/>
      <c r="Q56" s="1319"/>
      <c r="R56" s="1318"/>
      <c r="S56" s="1324"/>
      <c r="T56" s="1327" t="s">
        <v>448</v>
      </c>
      <c r="U56" s="1326"/>
      <c r="V56" s="1326"/>
      <c r="W56" s="1326"/>
      <c r="X56" s="1326"/>
      <c r="Y56" s="1326"/>
      <c r="Z56" s="1326"/>
      <c r="AA56" s="1326"/>
      <c r="AB56" s="1326"/>
      <c r="AC56" s="1326"/>
      <c r="AD56" s="1326"/>
      <c r="AE56" s="1326"/>
      <c r="AF56" s="1326"/>
      <c r="AG56" s="1326"/>
      <c r="AH56" s="1326"/>
      <c r="AI56" s="1326"/>
      <c r="AJ56" s="1326"/>
      <c r="AK56" s="1326"/>
      <c r="AM56" s="1253"/>
      <c r="AN56" s="1253" t="str">
        <f>IF(T56="","",T56)</f>
        <v>Добавить наименование тарифа</v>
      </c>
      <c r="AO56" s="1253"/>
      <c r="AP56" s="1253"/>
      <c r="AQ56" s="1644">
        <v>1</v>
      </c>
    </row>
    <row customHeight="1" ht="11.549999999999999">
      <c r="M57" s="1633"/>
      <c r="N57" s="1633"/>
      <c r="O57" s="1637"/>
      <c r="P57" s="1368"/>
      <c r="Q57" s="1368"/>
      <c r="R57" s="1633"/>
      <c r="S57" s="1633"/>
      <c r="AL57" s="1633"/>
      <c r="AM57" s="1633"/>
      <c r="AN57" s="1633"/>
      <c r="AO57" s="1633"/>
      <c r="AP57" s="1633"/>
      <c r="AQ57" s="1633">
        <v>11</v>
      </c>
    </row>
    <row customHeight="1" ht="19.95">
      <c r="O58" s="1637"/>
      <c r="S58" s="1255"/>
      <c r="T58" s="2287"/>
      <c r="U58" s="2287"/>
      <c r="V58" s="2287"/>
      <c r="W58" s="2287"/>
      <c r="X58" s="2287"/>
      <c r="Y58" s="2287"/>
      <c r="Z58" s="2287"/>
      <c r="AA58" s="2287"/>
      <c r="AB58" s="2287"/>
      <c r="AC58" s="2287"/>
      <c r="AD58" s="2287"/>
      <c r="AE58" s="2287"/>
      <c r="AF58" s="2287"/>
      <c r="AG58" s="2287"/>
      <c r="AH58" s="2287"/>
      <c r="AI58" s="2287"/>
      <c r="AJ58" s="2287"/>
      <c r="AK58" s="2287"/>
      <c r="AQ58" s="1633">
        <v>19</v>
      </c>
    </row>
    <row customHeight="1" ht="21">
      <c r="O59" s="1637"/>
      <c r="T59" s="2287"/>
      <c r="U59" s="2287"/>
      <c r="V59" s="2287"/>
      <c r="W59" s="2287"/>
      <c r="X59" s="2287"/>
      <c r="Y59" s="2287"/>
      <c r="Z59" s="2287"/>
      <c r="AA59" s="2287"/>
      <c r="AB59" s="2287"/>
      <c r="AC59" s="2287"/>
      <c r="AD59" s="2287"/>
      <c r="AE59" s="2287"/>
      <c r="AF59" s="2287"/>
      <c r="AG59" s="2287"/>
      <c r="AH59" s="2287"/>
      <c r="AI59" s="2287"/>
      <c r="AJ59" s="2287"/>
      <c r="AK59" s="2287"/>
      <c r="AQ59" s="1633">
        <v>20</v>
      </c>
    </row>
    <row customHeight="1" ht="14.699999999999998">
      <c r="O60" s="1637"/>
      <c r="T60" s="1955"/>
      <c r="U60" s="1955"/>
      <c r="V60" s="1955"/>
      <c r="W60" s="1955"/>
      <c r="X60" s="1955"/>
      <c r="Y60" s="1955"/>
      <c r="Z60" s="1955"/>
      <c r="AA60" s="1955"/>
      <c r="AB60" s="1955"/>
      <c r="AC60" s="1955"/>
      <c r="AD60" s="1955"/>
      <c r="AE60" s="1955"/>
      <c r="AF60" s="1955"/>
      <c r="AG60" s="1955"/>
      <c r="AH60" s="1955"/>
      <c r="AI60" s="1955"/>
      <c r="AJ60" s="1955"/>
      <c r="AK60" s="1955"/>
      <c r="AQ60" s="1633">
        <v>14</v>
      </c>
    </row>
    <row customHeight="1" ht="19.95">
      <c r="O61" s="1637"/>
      <c r="T61" s="2287"/>
      <c r="U61" s="2287"/>
      <c r="V61" s="2287"/>
      <c r="W61" s="2287"/>
      <c r="X61" s="2287"/>
      <c r="Y61" s="2287"/>
      <c r="Z61" s="2287"/>
      <c r="AA61" s="2287"/>
      <c r="AB61" s="2287"/>
      <c r="AC61" s="2287"/>
      <c r="AD61" s="2287"/>
      <c r="AE61" s="2287"/>
      <c r="AF61" s="2287"/>
      <c r="AG61" s="2287"/>
      <c r="AH61" s="2287"/>
      <c r="AI61" s="2287"/>
      <c r="AJ61" s="2287"/>
      <c r="AK61" s="2287"/>
      <c r="AQ61" s="1633">
        <v>19</v>
      </c>
    </row>
    <row customHeight="1" ht="16.8">
      <c r="O62" s="1637"/>
      <c r="T62" s="2287"/>
      <c r="U62" s="2287"/>
      <c r="V62" s="2287"/>
      <c r="W62" s="2287"/>
      <c r="X62" s="2287"/>
      <c r="Y62" s="2287"/>
      <c r="Z62" s="2287"/>
      <c r="AA62" s="2287"/>
      <c r="AB62" s="2287"/>
      <c r="AC62" s="2287"/>
      <c r="AD62" s="2287"/>
      <c r="AE62" s="2287"/>
      <c r="AF62" s="2287"/>
      <c r="AG62" s="2287"/>
      <c r="AH62" s="2287"/>
      <c r="AI62" s="2287"/>
      <c r="AJ62" s="2287"/>
      <c r="AK62" s="2287"/>
      <c r="AQ62" s="1633">
        <v>16</v>
      </c>
    </row>
    <row customHeight="1" ht="14.699999999999998">
      <c r="O63" s="1637"/>
      <c r="AQ63" s="1633">
        <v>14</v>
      </c>
    </row>
    <row customHeight="1" ht="22.5" hidden="1">
      <c r="A64" s="1633" t="s">
        <v>82</v>
      </c>
      <c r="B64" s="1633">
        <v>0</v>
      </c>
      <c r="C64" s="1633">
        <v>0</v>
      </c>
      <c r="D64" s="1633">
        <v>0</v>
      </c>
      <c r="E64" s="1633">
        <v>0</v>
      </c>
      <c r="F64" s="1633">
        <v>0</v>
      </c>
      <c r="G64" s="1633">
        <v>0</v>
      </c>
      <c r="H64" s="1633">
        <v>0</v>
      </c>
      <c r="I64" s="1633">
        <v>0</v>
      </c>
      <c r="J64" s="1633">
        <v>0</v>
      </c>
      <c r="K64" s="1633">
        <v>0</v>
      </c>
      <c r="L64" s="1941">
        <v>0</v>
      </c>
      <c r="M64" s="1967">
        <v>0</v>
      </c>
      <c r="N64" s="1967">
        <v>0</v>
      </c>
      <c r="O64" s="1967">
        <v>0</v>
      </c>
      <c r="P64" s="1364">
        <v>3</v>
      </c>
      <c r="Q64" s="1373">
        <v>3</v>
      </c>
      <c r="R64" s="346">
        <v>3</v>
      </c>
      <c r="S64" s="583">
        <v>12</v>
      </c>
      <c r="T64" s="1633">
        <v>31</v>
      </c>
      <c r="U64" s="1633">
        <v>0</v>
      </c>
      <c r="V64" s="1633">
        <v>0</v>
      </c>
      <c r="W64" s="1633">
        <v>0</v>
      </c>
      <c r="X64" s="1633">
        <v>0</v>
      </c>
      <c r="Y64" s="1633">
        <v>0</v>
      </c>
      <c r="Z64" s="1633">
        <v>0</v>
      </c>
      <c r="AA64" s="1633">
        <v>0</v>
      </c>
      <c r="AB64" s="1633">
        <v>27</v>
      </c>
      <c r="AC64" s="1633">
        <v>24</v>
      </c>
      <c r="AD64" s="1633">
        <v>21</v>
      </c>
      <c r="AE64" s="1633">
        <v>21</v>
      </c>
      <c r="AF64" s="1633">
        <v>11</v>
      </c>
      <c r="AG64" s="1633">
        <v>3</v>
      </c>
      <c r="AH64" s="1633">
        <v>11</v>
      </c>
      <c r="AI64" s="1633">
        <v>8</v>
      </c>
      <c r="AJ64" s="1633">
        <v>4</v>
      </c>
      <c r="AK64" s="1633">
        <v>115</v>
      </c>
      <c r="AL64" s="1638">
        <v>10</v>
      </c>
      <c r="AM64" s="1638">
        <v>10</v>
      </c>
      <c r="AN64" s="1638">
        <v>10</v>
      </c>
      <c r="AO64" s="1638">
        <v>10</v>
      </c>
      <c r="AP64" s="1638">
        <v>10</v>
      </c>
      <c r="AQ64" s="1633">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59809E-B79E-E89A-5DA4-49440182E684}"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67">
        <f>INDEX(PT_DIFFERENTIATION_NUM_NTAR,MATCH(A2,PT_DIFFERENTIATION_NTAR_ID,0))</f>
      </c>
      <c r="T2" s="300" t="s">
        <v>125</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67">
        <f>INDEX(PT_DIFFERENTIATION_NUM_TER,MATCH(B3,PT_DIFFERENTIATION_TER_ID,0))</f>
      </c>
      <c r="T3" s="310" t="s">
        <v>397</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398</v>
      </c>
      <c r="BE3" s="502"/>
      <c r="BF3" s="502" t="str">
        <f>IF(T3="","",T3)</f>
        <v>Территория действия тарифа</v>
      </c>
      <c r="BG3" s="502"/>
      <c r="BH3" s="502"/>
      <c r="BI3" s="1157">
        <v>0</v>
      </c>
    </row>
    <row customHeight="1" ht="42" hidden="1">
      <c r="A4" s="1365"/>
      <c r="B4" s="1365"/>
      <c r="C4" s="1365"/>
      <c r="D4" s="1365"/>
      <c r="E4" s="2261"/>
      <c r="F4" s="2261"/>
      <c r="G4" s="2260">
        <v>1</v>
      </c>
      <c r="H4" s="1365"/>
      <c r="I4" s="1365"/>
      <c r="J4" s="1365"/>
      <c r="K4" s="1365"/>
      <c r="L4" s="1366"/>
      <c r="M4" s="1367"/>
      <c r="N4" s="1367"/>
      <c r="O4" s="1367"/>
      <c r="P4" s="1414"/>
      <c r="Q4" s="1413"/>
      <c r="R4" s="355"/>
      <c r="S4" s="1467">
        <f>INDEX(PT_DIFFERENTIATION_NUM_CS,MATCH(C4,PT_DIFFERENTIATION_CS_ID,0))</f>
      </c>
      <c r="T4" s="311" t="s">
        <v>481</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482</v>
      </c>
      <c r="BE4" s="502"/>
      <c r="BF4" s="502" t="str">
        <f>IF(T4="","",T4)</f>
        <v>Наименование централизованной системы холодного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402</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403</v>
      </c>
      <c r="M6" s="512"/>
      <c r="N6" s="512"/>
      <c r="O6" s="512"/>
      <c r="P6" s="2259">
        <v>1</v>
      </c>
      <c r="Q6" s="1464"/>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61" t="s">
        <v>66</v>
      </c>
      <c r="AB8" s="1736"/>
      <c r="AC8" s="1461" t="s">
        <v>66</v>
      </c>
      <c r="AD8" s="2187" t="s">
        <v>66</v>
      </c>
      <c r="AE8" s="2328"/>
      <c r="AF8" s="2207">
        <v>1</v>
      </c>
      <c r="AG8" s="2365"/>
      <c r="AH8" s="2109" t="s">
        <v>66</v>
      </c>
      <c r="AI8" s="2328"/>
      <c r="AJ8" s="2207">
        <v>1</v>
      </c>
      <c r="AK8" s="2329" t="s">
        <v>22</v>
      </c>
      <c r="AL8" s="2109" t="s">
        <v>66</v>
      </c>
      <c r="AM8" s="2194"/>
      <c r="AN8" s="2207">
        <v>1</v>
      </c>
      <c r="AO8" s="2359"/>
      <c r="AP8" s="2360" t="s">
        <v>66</v>
      </c>
      <c r="AQ8" s="313"/>
      <c r="AR8" s="1465">
        <v>1</v>
      </c>
      <c r="AS8" s="1468" t="s">
        <v>22</v>
      </c>
      <c r="AT8" s="753"/>
      <c r="AU8" s="1259"/>
      <c r="AV8" s="753"/>
      <c r="AW8" s="1259"/>
      <c r="AX8" s="1736"/>
      <c r="AY8" s="1461" t="s">
        <v>66</v>
      </c>
      <c r="AZ8" s="1736"/>
      <c r="BA8" s="1461" t="s">
        <v>66</v>
      </c>
      <c r="BB8" s="1350"/>
      <c r="BC8" s="2255" t="s">
        <v>501</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502</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503</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504</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505</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468</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64"/>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6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66"/>
      <c r="M17" s="1323"/>
      <c r="N17" s="1323"/>
      <c r="P17" s="1318"/>
      <c r="Q17" s="1319"/>
      <c r="R17" s="1318"/>
      <c r="S17" s="1324"/>
      <c r="T17" s="1327" t="s">
        <v>415</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416</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62" t="s">
        <v>66</v>
      </c>
      <c r="AZ20" s="1738"/>
      <c r="BA20" s="1462" t="s">
        <v>66</v>
      </c>
      <c r="BI20" s="1157">
        <v>0</v>
      </c>
    </row>
    <row customHeight="1" ht="14.25" hidden="1">
      <c r="BD21" s="498"/>
      <c r="BE21" s="498"/>
      <c r="BF21" s="498"/>
      <c r="BG21" s="498"/>
      <c r="BH21" s="498"/>
      <c r="BI21" s="1157">
        <v>0</v>
      </c>
    </row>
    <row customHeight="1" ht="14.25" hidden="1">
      <c r="O22" s="1369" t="s">
        <v>417</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418</v>
      </c>
      <c r="P24" s="1510"/>
      <c r="Q24" s="1512"/>
      <c r="R24" s="1512"/>
      <c r="AA24" s="1509" t="s">
        <v>420</v>
      </c>
      <c r="AC24" s="1509" t="s">
        <v>421</v>
      </c>
      <c r="AD24" s="1509" t="s">
        <v>469</v>
      </c>
      <c r="AH24" s="1509" t="s">
        <v>469</v>
      </c>
      <c r="AK24" s="1509" t="s">
        <v>506</v>
      </c>
      <c r="AL24" s="1509" t="s">
        <v>469</v>
      </c>
      <c r="AP24" s="1509" t="s">
        <v>469</v>
      </c>
      <c r="AY24" s="1509" t="s">
        <v>420</v>
      </c>
      <c r="BA24" s="1509" t="s">
        <v>421</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423</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424</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423</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424</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56"/>
      <c r="V38" s="328"/>
      <c r="W38" s="328"/>
      <c r="X38" s="328"/>
      <c r="Y38" s="328"/>
      <c r="Z38" s="328"/>
      <c r="AA38" s="328"/>
      <c r="AB38" s="328"/>
      <c r="AC38" s="280" t="s">
        <v>427</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427</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300</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301</v>
      </c>
      <c r="BI40" s="1157">
        <v>14</v>
      </c>
    </row>
    <row customHeight="1" ht="14.699999999999998">
      <c r="Q41" s="293"/>
      <c r="R41" s="378"/>
      <c r="S41" s="2275" t="s">
        <v>88</v>
      </c>
      <c r="T41" s="2211" t="s">
        <v>507</v>
      </c>
      <c r="U41" s="303"/>
      <c r="V41" s="2276" t="s">
        <v>429</v>
      </c>
      <c r="W41" s="2277"/>
      <c r="X41" s="2277"/>
      <c r="Y41" s="2277"/>
      <c r="Z41" s="2277"/>
      <c r="AA41" s="2277"/>
      <c r="AB41" s="2278"/>
      <c r="AC41" s="2279" t="s">
        <v>430</v>
      </c>
      <c r="AD41" s="2330" t="s">
        <v>508</v>
      </c>
      <c r="AE41" s="2293"/>
      <c r="AF41" s="2293"/>
      <c r="AG41" s="2331"/>
      <c r="AH41" s="2330" t="s">
        <v>509</v>
      </c>
      <c r="AI41" s="2293"/>
      <c r="AJ41" s="2293"/>
      <c r="AK41" s="2331"/>
      <c r="AL41" s="2330" t="s">
        <v>510</v>
      </c>
      <c r="AM41" s="2293"/>
      <c r="AN41" s="2293"/>
      <c r="AO41" s="2331"/>
      <c r="AP41" s="2330" t="s">
        <v>511</v>
      </c>
      <c r="AQ41" s="2293"/>
      <c r="AR41" s="2293"/>
      <c r="AS41" s="2331"/>
      <c r="AT41" s="2276" t="s">
        <v>429</v>
      </c>
      <c r="AU41" s="2277"/>
      <c r="AV41" s="2277"/>
      <c r="AW41" s="2277"/>
      <c r="AX41" s="2277"/>
      <c r="AY41" s="2277"/>
      <c r="AZ41" s="2278"/>
      <c r="BA41" s="2279" t="s">
        <v>430</v>
      </c>
      <c r="BB41" s="2282" t="s">
        <v>432</v>
      </c>
      <c r="BC41" s="2129"/>
      <c r="BI41" s="1157">
        <v>14</v>
      </c>
    </row>
    <row customHeight="1" ht="35.699999999999996">
      <c r="Q42" s="293"/>
      <c r="R42" s="378"/>
      <c r="S42" s="2275"/>
      <c r="T42" s="2211"/>
      <c r="U42" s="1033"/>
      <c r="V42" s="2194" t="s">
        <v>512</v>
      </c>
      <c r="W42" s="2195"/>
      <c r="X42" s="2194" t="s">
        <v>513</v>
      </c>
      <c r="Y42" s="2195"/>
      <c r="Z42" s="2296" t="s">
        <v>514</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512</v>
      </c>
      <c r="AU42" s="2195"/>
      <c r="AV42" s="2194" t="s">
        <v>513</v>
      </c>
      <c r="AW42" s="2195"/>
      <c r="AX42" s="2296" t="s">
        <v>514</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137</v>
      </c>
      <c r="C44" s="1372" t="s">
        <v>138</v>
      </c>
      <c r="D44" s="1372" t="s">
        <v>139</v>
      </c>
      <c r="E44" s="1366" t="s">
        <v>437</v>
      </c>
      <c r="F44" s="1366" t="s">
        <v>438</v>
      </c>
      <c r="G44" s="1366" t="s">
        <v>439</v>
      </c>
      <c r="H44" s="1366" t="s">
        <v>440</v>
      </c>
      <c r="I44" s="1366" t="s">
        <v>441</v>
      </c>
      <c r="J44" s="1366" t="s">
        <v>442</v>
      </c>
      <c r="K44" s="1366" t="s">
        <v>443</v>
      </c>
      <c r="L44" s="1366" t="s">
        <v>418</v>
      </c>
      <c r="Q44" s="293"/>
      <c r="R44" s="378"/>
      <c r="S44" s="2275"/>
      <c r="T44" s="2211"/>
      <c r="U44" s="304"/>
      <c r="V44" s="1450" t="s">
        <v>478</v>
      </c>
      <c r="W44" s="1450" t="s">
        <v>479</v>
      </c>
      <c r="X44" s="1450" t="s">
        <v>478</v>
      </c>
      <c r="Y44" s="1450" t="s">
        <v>479</v>
      </c>
      <c r="Z44" s="1457" t="s">
        <v>446</v>
      </c>
      <c r="AA44" s="2272" t="s">
        <v>447</v>
      </c>
      <c r="AB44" s="2273"/>
      <c r="AC44" s="2281"/>
      <c r="AD44" s="2335"/>
      <c r="AE44" s="2336"/>
      <c r="AF44" s="2336"/>
      <c r="AG44" s="2337"/>
      <c r="AH44" s="2335"/>
      <c r="AI44" s="2336"/>
      <c r="AJ44" s="2336"/>
      <c r="AK44" s="2337"/>
      <c r="AL44" s="2335"/>
      <c r="AM44" s="2336"/>
      <c r="AN44" s="2336"/>
      <c r="AO44" s="2337"/>
      <c r="AP44" s="2335"/>
      <c r="AQ44" s="2336"/>
      <c r="AR44" s="2336"/>
      <c r="AS44" s="2337"/>
      <c r="AT44" s="1450" t="s">
        <v>478</v>
      </c>
      <c r="AU44" s="1450" t="s">
        <v>479</v>
      </c>
      <c r="AV44" s="1450" t="s">
        <v>478</v>
      </c>
      <c r="AW44" s="1450" t="s">
        <v>479</v>
      </c>
      <c r="AX44" s="1457" t="s">
        <v>446</v>
      </c>
      <c r="AY44" s="2272" t="s">
        <v>447</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53">
        <f>OFFSET(V45,0,-1)+1</f>
        <v>3</v>
      </c>
      <c r="W45" s="1453">
        <f>OFFSET(W45,0,-1)+1</f>
        <v>4</v>
      </c>
      <c r="X45" s="1453">
        <f>OFFSET(X45,0,-1)+1</f>
        <v>5</v>
      </c>
      <c r="Y45" s="1453">
        <f>OFFSET(Y45,0,-1)+1</f>
        <v>6</v>
      </c>
      <c r="Z45" s="1453">
        <f>OFFSET(Z45,0,-1)+1</f>
        <v>7</v>
      </c>
      <c r="AA45" s="2274">
        <f>OFFSET(AA45,0,-1)+1</f>
        <v>8</v>
      </c>
      <c r="AB45" s="2274"/>
      <c r="AC45" s="1453">
        <f>OFFSET(AC45,0,-2)+1</f>
        <v>9</v>
      </c>
      <c r="AD45" s="1453">
        <f>OFFSET(AD45,0,-1)+1</f>
        <v>10</v>
      </c>
      <c r="AE45" s="1453"/>
      <c r="AF45" s="1453"/>
      <c r="AG45" s="1453"/>
      <c r="AH45" s="1453"/>
      <c r="AI45" s="1453"/>
      <c r="AJ45" s="1453"/>
      <c r="AK45" s="1453"/>
      <c r="AL45" s="1453"/>
      <c r="AM45" s="1453"/>
      <c r="AN45" s="1453"/>
      <c r="AO45" s="1453"/>
      <c r="AP45" s="1453"/>
      <c r="AQ45" s="1453"/>
      <c r="AR45" s="1453"/>
      <c r="AS45" s="1453"/>
      <c r="AT45" s="1453"/>
      <c r="AU45" s="1453"/>
      <c r="AV45" s="1453"/>
      <c r="AW45" s="1453">
        <f>OFFSET(AW45,0,-1)+1</f>
        <v>1</v>
      </c>
      <c r="AX45" s="1453">
        <f>OFFSET(AX45,0,-1)+1</f>
        <v>2</v>
      </c>
      <c r="AY45" s="2274">
        <f>OFFSET(AY45,0,-1)+1</f>
        <v>3</v>
      </c>
      <c r="AZ45" s="2274"/>
      <c r="BA45" s="1453">
        <f>OFFSET(BA45,0,-2)+1</f>
        <v>4</v>
      </c>
      <c r="BB45" s="1247">
        <f>OFFSET(BB45,0,-1)</f>
        <v>4</v>
      </c>
      <c r="BC45" s="1453">
        <f>OFFSET(BC45,0,-1)+1</f>
        <v>5</v>
      </c>
      <c r="BD45" s="513"/>
      <c r="BE45" s="513"/>
      <c r="BF45" s="513"/>
      <c r="BG45" s="513"/>
      <c r="BH45" s="513"/>
      <c r="BI45" s="498">
        <v>0</v>
      </c>
    </row>
    <row customHeight="1" ht="22.049999999999997">
      <c r="A46" s="1365" t="s">
        <v>246</v>
      </c>
      <c r="B46" s="1365"/>
      <c r="C46" s="1365"/>
      <c r="D46" s="1365"/>
      <c r="E46" s="2260">
        <v>1</v>
      </c>
      <c r="F46" s="1365"/>
      <c r="G46" s="1365"/>
      <c r="H46" s="1365"/>
      <c r="I46" s="1365"/>
      <c r="J46" s="1365"/>
      <c r="K46" s="1365"/>
      <c r="L46" s="1366"/>
      <c r="M46" s="1367"/>
      <c r="N46" s="1367"/>
      <c r="O46" s="1367"/>
      <c r="P46" s="1411"/>
      <c r="Q46" s="875"/>
      <c r="R46" s="357"/>
      <c r="S46" s="1459">
        <f>INDEX(PT_DIFFERENTIATION_NUM_NTAR,MATCH(A46,PT_DIFFERENTIATION_NTAR_ID,0))</f>
        <v>0</v>
      </c>
      <c r="T46" s="300" t="s">
        <v>125</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246</v>
      </c>
      <c r="B47" s="1365" t="s">
        <v>247</v>
      </c>
      <c r="C47" s="1365"/>
      <c r="D47" s="1365"/>
      <c r="E47" s="2261"/>
      <c r="F47" s="2260">
        <v>1</v>
      </c>
      <c r="G47" s="1365"/>
      <c r="H47" s="1365"/>
      <c r="I47" s="1365"/>
      <c r="J47" s="1365"/>
      <c r="K47" s="1365"/>
      <c r="L47" s="1366"/>
      <c r="M47" s="1367"/>
      <c r="N47" s="1367"/>
      <c r="O47" s="1367"/>
      <c r="P47" s="1412"/>
      <c r="Q47" s="1413"/>
      <c r="R47" s="355"/>
      <c r="S47" s="1459" t="str">
        <f>INDEX(PT_DIFFERENTIATION_NUM_TER,MATCH(B47,PT_DIFFERENTIATION_TER_ID,0))</f>
        <v>.</v>
      </c>
      <c r="T47" s="310" t="s">
        <v>397</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398</v>
      </c>
      <c r="BE47" s="502"/>
      <c r="BF47" s="502" t="str">
        <f>IF(T47="","",T47)</f>
        <v>Территория действия тарифа</v>
      </c>
      <c r="BG47" s="502"/>
      <c r="BH47" s="502"/>
      <c r="BI47" s="1157">
        <v>21</v>
      </c>
    </row>
    <row customHeight="1" ht="43.050000000000004">
      <c r="A48" s="1365" t="s">
        <v>246</v>
      </c>
      <c r="B48" s="1365" t="s">
        <v>247</v>
      </c>
      <c r="C48" s="1365" t="s">
        <v>248</v>
      </c>
      <c r="D48" s="1365"/>
      <c r="E48" s="2261"/>
      <c r="F48" s="2261"/>
      <c r="G48" s="2260">
        <v>1</v>
      </c>
      <c r="H48" s="1365"/>
      <c r="I48" s="1365"/>
      <c r="J48" s="1365"/>
      <c r="K48" s="1365"/>
      <c r="L48" s="1366"/>
      <c r="M48" s="1367"/>
      <c r="N48" s="1367"/>
      <c r="O48" s="1367"/>
      <c r="P48" s="1414"/>
      <c r="Q48" s="1413"/>
      <c r="R48" s="355"/>
      <c r="S48" s="1459" t="str">
        <f>INDEX(PT_DIFFERENTIATION_NUM_CS,MATCH(C48,PT_DIFFERENTIATION_CS_ID,0))</f>
        <v>..</v>
      </c>
      <c r="T48" s="311" t="s">
        <v>481</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482</v>
      </c>
      <c r="BE48" s="502"/>
      <c r="BF48" s="502" t="str">
        <f>IF(T48="","",T48)</f>
        <v>Наименование централизованной системы холодного водоснабжения</v>
      </c>
      <c r="BG48" s="502"/>
      <c r="BH48" s="502"/>
      <c r="BI48" s="1157">
        <v>41</v>
      </c>
    </row>
    <row s="1644" customFormat="1" customHeight="1" ht="0">
      <c r="A49" s="1345" t="s">
        <v>246</v>
      </c>
      <c r="B49" s="1345" t="s">
        <v>247</v>
      </c>
      <c r="C49" s="1345" t="s">
        <v>248</v>
      </c>
      <c r="D49" s="1345" t="s">
        <v>515</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402</v>
      </c>
      <c r="BE49" s="502"/>
      <c r="BF49" s="502" t="str">
        <f>IF(T49="","",T49)</f>
        <v/>
      </c>
      <c r="BG49" s="502"/>
      <c r="BH49" s="502"/>
      <c r="BI49" s="513">
        <v>0</v>
      </c>
    </row>
    <row s="1644" customFormat="1" customHeight="1" ht="0">
      <c r="A50" s="1345" t="s">
        <v>246</v>
      </c>
      <c r="B50" s="1345" t="s">
        <v>247</v>
      </c>
      <c r="C50" s="1345" t="s">
        <v>248</v>
      </c>
      <c r="D50" s="1345" t="s">
        <v>515</v>
      </c>
      <c r="E50" s="2261"/>
      <c r="F50" s="2261"/>
      <c r="G50" s="2261"/>
      <c r="H50" s="2261"/>
      <c r="I50" s="2258" t="str">
        <f>S49&amp;".1"</f>
        <v>.1</v>
      </c>
      <c r="J50" s="1345"/>
      <c r="K50" s="1345"/>
      <c r="L50" s="1348" t="s">
        <v>403</v>
      </c>
      <c r="M50" s="512"/>
      <c r="N50" s="512"/>
      <c r="O50" s="512"/>
      <c r="P50" s="2259">
        <v>1</v>
      </c>
      <c r="Q50" s="1464"/>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246</v>
      </c>
      <c r="B51" s="1345" t="s">
        <v>247</v>
      </c>
      <c r="C51" s="1345" t="s">
        <v>248</v>
      </c>
      <c r="D51" s="1345" t="s">
        <v>515</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246</v>
      </c>
      <c r="B52" s="1365" t="s">
        <v>247</v>
      </c>
      <c r="C52" s="1365" t="s">
        <v>248</v>
      </c>
      <c r="D52" s="1365" t="s">
        <v>515</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61" t="s">
        <v>66</v>
      </c>
      <c r="AB52" s="1736"/>
      <c r="AC52" s="146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65">
        <v>1</v>
      </c>
      <c r="AS52" s="1468" t="s">
        <v>22</v>
      </c>
      <c r="AT52" s="753"/>
      <c r="AU52" s="1259"/>
      <c r="AV52" s="753"/>
      <c r="AW52" s="1259"/>
      <c r="AX52" s="1736"/>
      <c r="AY52" s="1461" t="s">
        <v>66</v>
      </c>
      <c r="AZ52" s="1736"/>
      <c r="BA52" s="1461" t="s">
        <v>66</v>
      </c>
      <c r="BB52" s="1350"/>
      <c r="BC52" s="2255" t="s">
        <v>501</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502</v>
      </c>
      <c r="AT53" s="1395"/>
      <c r="AU53" s="1498"/>
      <c r="AV53" s="1395"/>
      <c r="AW53" s="1498"/>
      <c r="AX53" s="1395"/>
      <c r="AY53" s="1395"/>
      <c r="AZ53" s="1395"/>
      <c r="BA53" s="1395"/>
      <c r="BB53" s="1399"/>
      <c r="BC53" s="2256"/>
      <c r="BE53" s="502"/>
      <c r="BF53" s="502"/>
      <c r="BG53" s="502"/>
      <c r="BH53" s="502"/>
      <c r="BI53" s="1157">
        <v>11</v>
      </c>
    </row>
    <row customHeight="1" ht="11.549999999999999">
      <c r="A54" s="1365" t="s">
        <v>246</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503</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246</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504</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246</v>
      </c>
      <c r="B56" s="1365" t="s">
        <v>247</v>
      </c>
      <c r="C56" s="1365" t="s">
        <v>248</v>
      </c>
      <c r="D56" s="1365" t="s">
        <v>515</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505</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246</v>
      </c>
      <c r="B57" s="1365" t="s">
        <v>247</v>
      </c>
      <c r="C57" s="1365" t="s">
        <v>248</v>
      </c>
      <c r="D57" s="1365" t="s">
        <v>515</v>
      </c>
      <c r="E57" s="2261"/>
      <c r="F57" s="2261"/>
      <c r="G57" s="2261"/>
      <c r="H57" s="2261"/>
      <c r="I57" s="2288"/>
      <c r="J57" s="2258"/>
      <c r="K57" s="1365"/>
      <c r="L57" s="1366"/>
      <c r="P57" s="2259"/>
      <c r="Q57" s="2259"/>
      <c r="R57" s="358"/>
      <c r="S57" s="1280"/>
      <c r="T57" s="289" t="s">
        <v>468</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246</v>
      </c>
      <c r="B58" s="1345" t="s">
        <v>247</v>
      </c>
      <c r="C58" s="1345" t="s">
        <v>248</v>
      </c>
      <c r="D58" s="1345" t="s">
        <v>515</v>
      </c>
      <c r="E58" s="2261"/>
      <c r="F58" s="2261"/>
      <c r="G58" s="2261"/>
      <c r="H58" s="2261"/>
      <c r="I58" s="2258"/>
      <c r="J58" s="1345"/>
      <c r="K58" s="1345"/>
      <c r="L58" s="1348"/>
      <c r="M58" s="512"/>
      <c r="N58" s="512"/>
      <c r="O58" s="512"/>
      <c r="P58" s="2259"/>
      <c r="Q58" s="1464"/>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246</v>
      </c>
      <c r="B59" s="1345" t="s">
        <v>247</v>
      </c>
      <c r="C59" s="1345" t="s">
        <v>248</v>
      </c>
      <c r="D59" s="1345" t="s">
        <v>515</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246</v>
      </c>
      <c r="B60" s="1345" t="s">
        <v>247</v>
      </c>
      <c r="C60" s="1345" t="s">
        <v>248</v>
      </c>
      <c r="D60" s="1316"/>
      <c r="E60" s="2261"/>
      <c r="F60" s="2261"/>
      <c r="G60" s="2260"/>
      <c r="H60" s="1316"/>
      <c r="I60" s="1316"/>
      <c r="J60" s="1316"/>
      <c r="K60" s="1316"/>
      <c r="L60" s="146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246</v>
      </c>
      <c r="B61" s="1345" t="s">
        <v>247</v>
      </c>
      <c r="C61" s="1316"/>
      <c r="D61" s="1316"/>
      <c r="E61" s="2261"/>
      <c r="F61" s="2260"/>
      <c r="G61" s="1316"/>
      <c r="H61" s="1316"/>
      <c r="I61" s="1316"/>
      <c r="J61" s="1316"/>
      <c r="K61" s="1316"/>
      <c r="L61" s="1466"/>
      <c r="M61" s="1323"/>
      <c r="N61" s="1323"/>
      <c r="P61" s="1318"/>
      <c r="Q61" s="1319"/>
      <c r="R61" s="1318"/>
      <c r="S61" s="1324"/>
      <c r="T61" s="1327" t="s">
        <v>415</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246</v>
      </c>
      <c r="B62" s="1345"/>
      <c r="C62" s="1345"/>
      <c r="D62" s="1345"/>
      <c r="E62" s="2260"/>
      <c r="F62" s="1345"/>
      <c r="G62" s="1345"/>
      <c r="H62" s="1345"/>
      <c r="I62" s="1345"/>
      <c r="J62" s="1345"/>
      <c r="K62" s="1345"/>
      <c r="L62" s="1348"/>
      <c r="M62" s="1323"/>
      <c r="N62" s="1323"/>
      <c r="O62" s="520"/>
      <c r="P62" s="382"/>
      <c r="Q62" s="1346"/>
      <c r="R62" s="382"/>
      <c r="S62" s="1324"/>
      <c r="T62" s="1327" t="s">
        <v>416</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66"/>
      <c r="M63" s="1323"/>
      <c r="N63" s="1323"/>
      <c r="P63" s="1318"/>
      <c r="Q63" s="1319"/>
      <c r="R63" s="1318"/>
      <c r="S63" s="1324"/>
      <c r="T63" s="1327" t="s">
        <v>448</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51"/>
      <c r="U66" s="1451"/>
      <c r="V66" s="1451"/>
      <c r="W66" s="1451"/>
      <c r="X66" s="1451"/>
      <c r="Y66" s="1451"/>
      <c r="Z66" s="1451"/>
      <c r="AA66" s="1451"/>
      <c r="AB66" s="1451"/>
      <c r="AC66" s="1451"/>
      <c r="AD66" s="1451"/>
      <c r="AE66" s="1451"/>
      <c r="AF66" s="1451"/>
      <c r="AG66" s="1451"/>
      <c r="AH66" s="1451"/>
      <c r="AI66" s="1451"/>
      <c r="AJ66" s="1451"/>
      <c r="AK66" s="1451"/>
      <c r="AL66" s="1451"/>
      <c r="AM66" s="1451"/>
      <c r="AN66" s="1451"/>
      <c r="AO66" s="1451"/>
      <c r="AP66" s="1451"/>
      <c r="AQ66" s="1451"/>
      <c r="AR66" s="1451"/>
      <c r="AS66" s="1451"/>
      <c r="AT66" s="1451"/>
      <c r="AU66" s="1451"/>
      <c r="AV66" s="1451"/>
      <c r="AW66" s="1451"/>
      <c r="AX66" s="1451"/>
      <c r="AY66" s="1451"/>
      <c r="AZ66" s="1451"/>
      <c r="BA66" s="1451"/>
      <c r="BB66" s="1451"/>
      <c r="BC66" s="1451"/>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63">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64F9B6-D5FE-266B-827B-01FA0A15C062}"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516</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517</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95">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485" t="s">
        <v>489</v>
      </c>
      <c r="W38" s="2264" t="s">
        <v>435</v>
      </c>
      <c r="X38" s="2265"/>
      <c r="Y38" s="2264" t="s">
        <v>436</v>
      </c>
      <c r="Z38" s="2271"/>
      <c r="AA38" s="2265"/>
      <c r="AB38" s="2280"/>
      <c r="AC38" s="1485" t="s">
        <v>489</v>
      </c>
      <c r="AD38" s="2264" t="s">
        <v>435</v>
      </c>
      <c r="AE38" s="2265"/>
      <c r="AF38" s="2264" t="s">
        <v>436</v>
      </c>
      <c r="AG38" s="2271"/>
      <c r="AH38" s="2265"/>
      <c r="AI38" s="2280"/>
      <c r="AJ38" s="2283"/>
      <c r="AK38" s="2129"/>
      <c r="AQ38" s="1157">
        <v>34</v>
      </c>
    </row>
    <row customHeight="1" ht="90.3">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85" t="s">
        <v>518</v>
      </c>
      <c r="W39" s="1224" t="s">
        <v>519</v>
      </c>
      <c r="X39" s="1224" t="s">
        <v>494</v>
      </c>
      <c r="Y39" s="1491" t="s">
        <v>446</v>
      </c>
      <c r="Z39" s="2272" t="s">
        <v>447</v>
      </c>
      <c r="AA39" s="2273"/>
      <c r="AB39" s="2281"/>
      <c r="AC39" s="1485" t="s">
        <v>518</v>
      </c>
      <c r="AD39" s="1224" t="s">
        <v>519</v>
      </c>
      <c r="AE39" s="1224" t="s">
        <v>494</v>
      </c>
      <c r="AF39" s="1491" t="s">
        <v>446</v>
      </c>
      <c r="AG39" s="2272" t="s">
        <v>447</v>
      </c>
      <c r="AH39" s="2273"/>
      <c r="AI39" s="2281"/>
      <c r="AJ39" s="2284"/>
      <c r="AK39" s="2129"/>
      <c r="AQ39" s="1157">
        <v>86</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266</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266</v>
      </c>
      <c r="B42" s="1365" t="s">
        <v>267</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266</v>
      </c>
      <c r="B43" s="1365" t="s">
        <v>267</v>
      </c>
      <c r="C43" s="1365" t="s">
        <v>268</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516</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517</v>
      </c>
      <c r="AM43" s="502"/>
      <c r="AN43" s="502" t="str">
        <f>IF(T43="","",T43)</f>
        <v>Наименование централизованной системы водоотведения</v>
      </c>
      <c r="AO43" s="502"/>
      <c r="AP43" s="502"/>
      <c r="AQ43" s="1157">
        <v>23</v>
      </c>
    </row>
    <row customHeight="1" ht="24">
      <c r="A44" s="1365" t="s">
        <v>266</v>
      </c>
      <c r="B44" s="1365" t="s">
        <v>267</v>
      </c>
      <c r="C44" s="1365" t="s">
        <v>268</v>
      </c>
      <c r="D44" s="1365" t="s">
        <v>520</v>
      </c>
      <c r="E44" s="2261"/>
      <c r="F44" s="2261"/>
      <c r="G44" s="2261"/>
      <c r="H44" s="2261"/>
      <c r="I44" s="2258" t="str">
        <f>S43&amp;".1"</f>
        <v>...1</v>
      </c>
      <c r="J44" s="1365"/>
      <c r="K44" s="1365"/>
      <c r="L44" s="1366"/>
      <c r="P44" s="2259">
        <v>1</v>
      </c>
      <c r="Q44" s="1483"/>
      <c r="R44" s="358"/>
      <c r="S44" s="1495"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266</v>
      </c>
      <c r="B45" s="1365" t="s">
        <v>267</v>
      </c>
      <c r="C45" s="1365" t="s">
        <v>268</v>
      </c>
      <c r="D45" s="1365" t="s">
        <v>520</v>
      </c>
      <c r="E45" s="2261"/>
      <c r="F45" s="2261"/>
      <c r="G45" s="2261"/>
      <c r="H45" s="2261"/>
      <c r="I45" s="2288"/>
      <c r="J45" s="2258" t="str">
        <f>I44&amp;".1"</f>
        <v>...1.1</v>
      </c>
      <c r="K45" s="1365"/>
      <c r="L45" s="1366" t="s">
        <v>406</v>
      </c>
      <c r="P45" s="2259"/>
      <c r="Q45" s="2259">
        <v>1</v>
      </c>
      <c r="R45" s="359"/>
      <c r="S45" s="1495"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266</v>
      </c>
      <c r="B46" s="1365" t="s">
        <v>267</v>
      </c>
      <c r="C46" s="1365" t="s">
        <v>268</v>
      </c>
      <c r="D46" s="1365" t="s">
        <v>520</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266</v>
      </c>
      <c r="B47" s="1365" t="s">
        <v>267</v>
      </c>
      <c r="C47" s="1365" t="s">
        <v>268</v>
      </c>
      <c r="D47" s="1365" t="s">
        <v>520</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266</v>
      </c>
      <c r="B48" s="1365" t="s">
        <v>267</v>
      </c>
      <c r="C48" s="1365" t="s">
        <v>268</v>
      </c>
      <c r="D48" s="1365" t="s">
        <v>520</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266</v>
      </c>
      <c r="B49" s="1365" t="s">
        <v>267</v>
      </c>
      <c r="C49" s="1365" t="s">
        <v>268</v>
      </c>
      <c r="D49" s="1365" t="s">
        <v>520</v>
      </c>
      <c r="E49" s="2261"/>
      <c r="F49" s="2261"/>
      <c r="G49" s="2261"/>
      <c r="H49" s="2261"/>
      <c r="I49" s="2258"/>
      <c r="J49" s="1365"/>
      <c r="K49" s="1365"/>
      <c r="L49" s="1366"/>
      <c r="P49" s="2259"/>
      <c r="Q49" s="1483"/>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266</v>
      </c>
      <c r="B50" s="1365" t="s">
        <v>267</v>
      </c>
      <c r="C50" s="1365" t="s">
        <v>268</v>
      </c>
      <c r="D50" s="1365" t="s">
        <v>520</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266</v>
      </c>
      <c r="B51" s="1345" t="s">
        <v>267</v>
      </c>
      <c r="C51" s="1316"/>
      <c r="D51" s="1316"/>
      <c r="E51" s="2261"/>
      <c r="F51" s="2260"/>
      <c r="G51" s="1316"/>
      <c r="H51" s="1316"/>
      <c r="I51" s="1316"/>
      <c r="J51" s="1316"/>
      <c r="K51" s="1316"/>
      <c r="L51" s="1496"/>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266</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CC83AD-3F2C-4423-FE2C-97ED7D66DB5F}"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516</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517</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95">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485" t="s">
        <v>489</v>
      </c>
      <c r="W38" s="2264" t="s">
        <v>435</v>
      </c>
      <c r="X38" s="2265"/>
      <c r="Y38" s="2264" t="s">
        <v>436</v>
      </c>
      <c r="Z38" s="2271"/>
      <c r="AA38" s="2265"/>
      <c r="AB38" s="2280"/>
      <c r="AC38" s="1485" t="s">
        <v>489</v>
      </c>
      <c r="AD38" s="2264" t="s">
        <v>435</v>
      </c>
      <c r="AE38" s="2265"/>
      <c r="AF38" s="2264" t="s">
        <v>436</v>
      </c>
      <c r="AG38" s="2271"/>
      <c r="AH38" s="2265"/>
      <c r="AI38" s="2280"/>
      <c r="AJ38" s="2283"/>
      <c r="AK38" s="2129"/>
      <c r="AQ38" s="1157">
        <v>34</v>
      </c>
    </row>
    <row customHeight="1" ht="90.3">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85" t="s">
        <v>518</v>
      </c>
      <c r="W39" s="1224" t="s">
        <v>519</v>
      </c>
      <c r="X39" s="1224" t="s">
        <v>494</v>
      </c>
      <c r="Y39" s="1491" t="s">
        <v>446</v>
      </c>
      <c r="Z39" s="2272" t="s">
        <v>447</v>
      </c>
      <c r="AA39" s="2273"/>
      <c r="AB39" s="2281"/>
      <c r="AC39" s="1485" t="s">
        <v>518</v>
      </c>
      <c r="AD39" s="1224" t="s">
        <v>519</v>
      </c>
      <c r="AE39" s="1224" t="s">
        <v>494</v>
      </c>
      <c r="AF39" s="1491" t="s">
        <v>446</v>
      </c>
      <c r="AG39" s="2272" t="s">
        <v>447</v>
      </c>
      <c r="AH39" s="2273"/>
      <c r="AI39" s="2281"/>
      <c r="AJ39" s="2284"/>
      <c r="AK39" s="2129"/>
      <c r="AQ39" s="1157">
        <v>86</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271</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271</v>
      </c>
      <c r="B42" s="1365" t="s">
        <v>272</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271</v>
      </c>
      <c r="B43" s="1365" t="s">
        <v>272</v>
      </c>
      <c r="C43" s="1365" t="s">
        <v>273</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516</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517</v>
      </c>
      <c r="AM43" s="502"/>
      <c r="AN43" s="502" t="str">
        <f>IF(T43="","",T43)</f>
        <v>Наименование централизованной системы водоотведения</v>
      </c>
      <c r="AO43" s="502"/>
      <c r="AP43" s="502"/>
      <c r="AQ43" s="1157">
        <v>23</v>
      </c>
    </row>
    <row customHeight="1" ht="24">
      <c r="A44" s="1365" t="s">
        <v>271</v>
      </c>
      <c r="B44" s="1365" t="s">
        <v>272</v>
      </c>
      <c r="C44" s="1365" t="s">
        <v>273</v>
      </c>
      <c r="D44" s="1365" t="s">
        <v>521</v>
      </c>
      <c r="E44" s="2261"/>
      <c r="F44" s="2261"/>
      <c r="G44" s="2261"/>
      <c r="H44" s="2261"/>
      <c r="I44" s="2258" t="str">
        <f>S43&amp;".1"</f>
        <v>...1</v>
      </c>
      <c r="J44" s="1365"/>
      <c r="K44" s="1365"/>
      <c r="L44" s="1366"/>
      <c r="P44" s="2259">
        <v>1</v>
      </c>
      <c r="Q44" s="1483"/>
      <c r="R44" s="358"/>
      <c r="S44" s="1495"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271</v>
      </c>
      <c r="B45" s="1365" t="s">
        <v>272</v>
      </c>
      <c r="C45" s="1365" t="s">
        <v>273</v>
      </c>
      <c r="D45" s="1365" t="s">
        <v>521</v>
      </c>
      <c r="E45" s="2261"/>
      <c r="F45" s="2261"/>
      <c r="G45" s="2261"/>
      <c r="H45" s="2261"/>
      <c r="I45" s="2288"/>
      <c r="J45" s="2258" t="str">
        <f>I44&amp;".1"</f>
        <v>...1.1</v>
      </c>
      <c r="K45" s="1365"/>
      <c r="L45" s="1366" t="s">
        <v>406</v>
      </c>
      <c r="P45" s="2259"/>
      <c r="Q45" s="2259">
        <v>1</v>
      </c>
      <c r="R45" s="359"/>
      <c r="S45" s="1495"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271</v>
      </c>
      <c r="B46" s="1365" t="s">
        <v>272</v>
      </c>
      <c r="C46" s="1365" t="s">
        <v>273</v>
      </c>
      <c r="D46" s="1365" t="s">
        <v>521</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271</v>
      </c>
      <c r="B47" s="1365" t="s">
        <v>272</v>
      </c>
      <c r="C47" s="1365" t="s">
        <v>273</v>
      </c>
      <c r="D47" s="1365" t="s">
        <v>521</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271</v>
      </c>
      <c r="B48" s="1365" t="s">
        <v>272</v>
      </c>
      <c r="C48" s="1365" t="s">
        <v>273</v>
      </c>
      <c r="D48" s="1365" t="s">
        <v>521</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271</v>
      </c>
      <c r="B49" s="1365" t="s">
        <v>272</v>
      </c>
      <c r="C49" s="1365" t="s">
        <v>273</v>
      </c>
      <c r="D49" s="1365" t="s">
        <v>521</v>
      </c>
      <c r="E49" s="2261"/>
      <c r="F49" s="2261"/>
      <c r="G49" s="2261"/>
      <c r="H49" s="2261"/>
      <c r="I49" s="2258"/>
      <c r="J49" s="1365"/>
      <c r="K49" s="1365"/>
      <c r="L49" s="1366"/>
      <c r="P49" s="2259"/>
      <c r="Q49" s="1483"/>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271</v>
      </c>
      <c r="B50" s="1365" t="s">
        <v>272</v>
      </c>
      <c r="C50" s="1365" t="s">
        <v>273</v>
      </c>
      <c r="D50" s="1365" t="s">
        <v>521</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271</v>
      </c>
      <c r="B51" s="1345" t="s">
        <v>272</v>
      </c>
      <c r="C51" s="1316"/>
      <c r="D51" s="1316"/>
      <c r="E51" s="2261"/>
      <c r="F51" s="2260"/>
      <c r="G51" s="1316"/>
      <c r="H51" s="1316"/>
      <c r="I51" s="1316"/>
      <c r="J51" s="1316"/>
      <c r="K51" s="1316"/>
      <c r="L51" s="1496"/>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271</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91E146-2517-9C41-0C19-198F76B45B91}"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125</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397</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398</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516</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517</v>
      </c>
      <c r="BE4" s="502"/>
      <c r="BF4" s="502" t="str">
        <f>IF(T4="","",T4)</f>
        <v>Наименование централизованной системы водоотведения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402</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403</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22</v>
      </c>
      <c r="AL8" s="2109" t="s">
        <v>66</v>
      </c>
      <c r="AM8" s="2194"/>
      <c r="AN8" s="2207">
        <v>1</v>
      </c>
      <c r="AO8" s="2359"/>
      <c r="AP8" s="2360" t="s">
        <v>66</v>
      </c>
      <c r="AQ8" s="313"/>
      <c r="AR8" s="1488">
        <v>1</v>
      </c>
      <c r="AS8" s="1494" t="s">
        <v>22</v>
      </c>
      <c r="AT8" s="753"/>
      <c r="AU8" s="1259"/>
      <c r="AV8" s="753"/>
      <c r="AW8" s="1259"/>
      <c r="AX8" s="1736"/>
      <c r="AY8" s="1471" t="s">
        <v>66</v>
      </c>
      <c r="AZ8" s="1736"/>
      <c r="BA8" s="1471" t="s">
        <v>66</v>
      </c>
      <c r="BB8" s="1350"/>
      <c r="BC8" s="2255" t="s">
        <v>501</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502</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522</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523</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505</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468</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415</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416</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customHeight="1" ht="14.25" hidden="1">
      <c r="BD21" s="498"/>
      <c r="BE21" s="498"/>
      <c r="BF21" s="498"/>
      <c r="BG21" s="498"/>
      <c r="BH21" s="498"/>
      <c r="BI21" s="1157">
        <v>0</v>
      </c>
    </row>
    <row customHeight="1" ht="14.25" hidden="1">
      <c r="O22" s="1369" t="s">
        <v>417</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418</v>
      </c>
      <c r="P24" s="1510"/>
      <c r="Q24" s="1512"/>
      <c r="R24" s="1512"/>
      <c r="AA24" s="1509" t="s">
        <v>420</v>
      </c>
      <c r="AC24" s="1509" t="s">
        <v>421</v>
      </c>
      <c r="AD24" s="1509" t="s">
        <v>469</v>
      </c>
      <c r="AH24" s="1509" t="s">
        <v>469</v>
      </c>
      <c r="AK24" s="1509" t="s">
        <v>506</v>
      </c>
      <c r="AL24" s="1509" t="s">
        <v>469</v>
      </c>
      <c r="AP24" s="1509" t="s">
        <v>469</v>
      </c>
      <c r="AY24" s="1509" t="s">
        <v>420</v>
      </c>
      <c r="BA24" s="1509" t="s">
        <v>421</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423</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424</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423</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424</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427</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427</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300</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301</v>
      </c>
      <c r="BI40" s="1157">
        <v>14</v>
      </c>
    </row>
    <row customHeight="1" ht="14.699999999999998">
      <c r="Q41" s="293"/>
      <c r="R41" s="378"/>
      <c r="S41" s="2275" t="s">
        <v>88</v>
      </c>
      <c r="T41" s="2211" t="s">
        <v>507</v>
      </c>
      <c r="U41" s="303"/>
      <c r="V41" s="2276" t="s">
        <v>429</v>
      </c>
      <c r="W41" s="2277"/>
      <c r="X41" s="2277"/>
      <c r="Y41" s="2277"/>
      <c r="Z41" s="2277"/>
      <c r="AA41" s="2277"/>
      <c r="AB41" s="2278"/>
      <c r="AC41" s="2279" t="s">
        <v>430</v>
      </c>
      <c r="AD41" s="2330" t="s">
        <v>524</v>
      </c>
      <c r="AE41" s="2293"/>
      <c r="AF41" s="2293"/>
      <c r="AG41" s="2331"/>
      <c r="AH41" s="2330" t="s">
        <v>525</v>
      </c>
      <c r="AI41" s="2293"/>
      <c r="AJ41" s="2293"/>
      <c r="AK41" s="2331"/>
      <c r="AL41" s="2330" t="s">
        <v>526</v>
      </c>
      <c r="AM41" s="2293"/>
      <c r="AN41" s="2293"/>
      <c r="AO41" s="2331"/>
      <c r="AP41" s="2330" t="s">
        <v>511</v>
      </c>
      <c r="AQ41" s="2293"/>
      <c r="AR41" s="2293"/>
      <c r="AS41" s="2331"/>
      <c r="AT41" s="2276" t="s">
        <v>429</v>
      </c>
      <c r="AU41" s="2277"/>
      <c r="AV41" s="2277"/>
      <c r="AW41" s="2277"/>
      <c r="AX41" s="2277"/>
      <c r="AY41" s="2277"/>
      <c r="AZ41" s="2278"/>
      <c r="BA41" s="2279" t="s">
        <v>430</v>
      </c>
      <c r="BB41" s="2282" t="s">
        <v>432</v>
      </c>
      <c r="BC41" s="2129"/>
      <c r="BI41" s="1157">
        <v>14</v>
      </c>
    </row>
    <row customHeight="1" ht="35.699999999999996">
      <c r="Q42" s="293"/>
      <c r="R42" s="378"/>
      <c r="S42" s="2275"/>
      <c r="T42" s="2211"/>
      <c r="U42" s="1033"/>
      <c r="V42" s="2194" t="s">
        <v>512</v>
      </c>
      <c r="W42" s="2195"/>
      <c r="X42" s="2194" t="s">
        <v>513</v>
      </c>
      <c r="Y42" s="2195"/>
      <c r="Z42" s="2296" t="s">
        <v>514</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527</v>
      </c>
      <c r="AU42" s="2195"/>
      <c r="AV42" s="2194" t="s">
        <v>528</v>
      </c>
      <c r="AW42" s="2195"/>
      <c r="AX42" s="2296" t="s">
        <v>514</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137</v>
      </c>
      <c r="C44" s="1372" t="s">
        <v>138</v>
      </c>
      <c r="D44" s="1372" t="s">
        <v>139</v>
      </c>
      <c r="E44" s="1366" t="s">
        <v>437</v>
      </c>
      <c r="F44" s="1366" t="s">
        <v>438</v>
      </c>
      <c r="G44" s="1366" t="s">
        <v>439</v>
      </c>
      <c r="H44" s="1366" t="s">
        <v>440</v>
      </c>
      <c r="I44" s="1366" t="s">
        <v>441</v>
      </c>
      <c r="J44" s="1366" t="s">
        <v>442</v>
      </c>
      <c r="K44" s="1366" t="s">
        <v>443</v>
      </c>
      <c r="L44" s="1366" t="s">
        <v>418</v>
      </c>
      <c r="Q44" s="293"/>
      <c r="R44" s="378"/>
      <c r="S44" s="2275"/>
      <c r="T44" s="2211"/>
      <c r="U44" s="304"/>
      <c r="V44" s="1481" t="s">
        <v>478</v>
      </c>
      <c r="W44" s="1481" t="s">
        <v>479</v>
      </c>
      <c r="X44" s="1481" t="s">
        <v>478</v>
      </c>
      <c r="Y44" s="1481" t="s">
        <v>479</v>
      </c>
      <c r="Z44" s="1491" t="s">
        <v>446</v>
      </c>
      <c r="AA44" s="2272" t="s">
        <v>447</v>
      </c>
      <c r="AB44" s="2273"/>
      <c r="AC44" s="2281"/>
      <c r="AD44" s="2335"/>
      <c r="AE44" s="2336"/>
      <c r="AF44" s="2336"/>
      <c r="AG44" s="2337"/>
      <c r="AH44" s="2335"/>
      <c r="AI44" s="2336"/>
      <c r="AJ44" s="2336"/>
      <c r="AK44" s="2337"/>
      <c r="AL44" s="2335"/>
      <c r="AM44" s="2336"/>
      <c r="AN44" s="2336"/>
      <c r="AO44" s="2337"/>
      <c r="AP44" s="2335"/>
      <c r="AQ44" s="2336"/>
      <c r="AR44" s="2336"/>
      <c r="AS44" s="2337"/>
      <c r="AT44" s="1481" t="s">
        <v>478</v>
      </c>
      <c r="AU44" s="1481" t="s">
        <v>479</v>
      </c>
      <c r="AV44" s="1481" t="s">
        <v>478</v>
      </c>
      <c r="AW44" s="1481" t="s">
        <v>479</v>
      </c>
      <c r="AX44" s="1491" t="s">
        <v>446</v>
      </c>
      <c r="AY44" s="2272" t="s">
        <v>447</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276</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125</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276</v>
      </c>
      <c r="B47" s="1365" t="s">
        <v>277</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397</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398</v>
      </c>
      <c r="BE47" s="502"/>
      <c r="BF47" s="502" t="str">
        <f>IF(T47="","",T47)</f>
        <v>Территория действия тарифа</v>
      </c>
      <c r="BG47" s="502"/>
      <c r="BH47" s="502"/>
      <c r="BI47" s="1157">
        <v>21</v>
      </c>
    </row>
    <row customHeight="1" ht="35.699999999999996">
      <c r="A48" s="1365" t="s">
        <v>276</v>
      </c>
      <c r="B48" s="1365" t="s">
        <v>277</v>
      </c>
      <c r="C48" s="1365" t="s">
        <v>278</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516</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517</v>
      </c>
      <c r="BE48" s="502"/>
      <c r="BF48" s="502" t="str">
        <f>IF(T48="","",T48)</f>
        <v>Наименование централизованной системы водоотведения</v>
      </c>
      <c r="BG48" s="502"/>
      <c r="BH48" s="502"/>
      <c r="BI48" s="1157">
        <v>34</v>
      </c>
    </row>
    <row s="1644" customFormat="1" customHeight="1" ht="0">
      <c r="A49" s="1345" t="s">
        <v>276</v>
      </c>
      <c r="B49" s="1345" t="s">
        <v>277</v>
      </c>
      <c r="C49" s="1345" t="s">
        <v>278</v>
      </c>
      <c r="D49" s="1345" t="s">
        <v>529</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402</v>
      </c>
      <c r="BE49" s="502"/>
      <c r="BF49" s="502" t="str">
        <f>IF(T49="","",T49)</f>
        <v/>
      </c>
      <c r="BG49" s="502"/>
      <c r="BH49" s="502"/>
      <c r="BI49" s="513">
        <v>0</v>
      </c>
    </row>
    <row s="1644" customFormat="1" customHeight="1" ht="0">
      <c r="A50" s="1345" t="s">
        <v>276</v>
      </c>
      <c r="B50" s="1345" t="s">
        <v>277</v>
      </c>
      <c r="C50" s="1345" t="s">
        <v>278</v>
      </c>
      <c r="D50" s="1345" t="s">
        <v>529</v>
      </c>
      <c r="E50" s="2261"/>
      <c r="F50" s="2261"/>
      <c r="G50" s="2261"/>
      <c r="H50" s="2261"/>
      <c r="I50" s="2258" t="str">
        <f>S49&amp;".1"</f>
        <v>.1</v>
      </c>
      <c r="J50" s="1345"/>
      <c r="K50" s="1345"/>
      <c r="L50" s="1348" t="s">
        <v>403</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276</v>
      </c>
      <c r="B51" s="1345" t="s">
        <v>277</v>
      </c>
      <c r="C51" s="1345" t="s">
        <v>278</v>
      </c>
      <c r="D51" s="1345" t="s">
        <v>529</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276</v>
      </c>
      <c r="B52" s="1365" t="s">
        <v>277</v>
      </c>
      <c r="C52" s="1365" t="s">
        <v>278</v>
      </c>
      <c r="D52" s="1365" t="s">
        <v>529</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88">
        <v>1</v>
      </c>
      <c r="AS52" s="1494" t="s">
        <v>22</v>
      </c>
      <c r="AT52" s="753"/>
      <c r="AU52" s="1259"/>
      <c r="AV52" s="753"/>
      <c r="AW52" s="1259"/>
      <c r="AX52" s="1736"/>
      <c r="AY52" s="1471" t="s">
        <v>66</v>
      </c>
      <c r="AZ52" s="1736"/>
      <c r="BA52" s="1471" t="s">
        <v>66</v>
      </c>
      <c r="BB52" s="1350"/>
      <c r="BC52" s="2255" t="s">
        <v>501</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502</v>
      </c>
      <c r="AT53" s="1395"/>
      <c r="AU53" s="1498"/>
      <c r="AV53" s="1395"/>
      <c r="AW53" s="1498"/>
      <c r="AX53" s="1395"/>
      <c r="AY53" s="1395"/>
      <c r="AZ53" s="1395"/>
      <c r="BA53" s="1395"/>
      <c r="BB53" s="1399"/>
      <c r="BC53" s="2256"/>
      <c r="BE53" s="502"/>
      <c r="BF53" s="502"/>
      <c r="BG53" s="502"/>
      <c r="BH53" s="502"/>
      <c r="BI53" s="1157">
        <v>11</v>
      </c>
    </row>
    <row customHeight="1" ht="11.549999999999999">
      <c r="A54" s="1365" t="s">
        <v>276</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522</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276</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523</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276</v>
      </c>
      <c r="B56" s="1365" t="s">
        <v>277</v>
      </c>
      <c r="C56" s="1365" t="s">
        <v>278</v>
      </c>
      <c r="D56" s="1365" t="s">
        <v>529</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505</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276</v>
      </c>
      <c r="B57" s="1365" t="s">
        <v>277</v>
      </c>
      <c r="C57" s="1365" t="s">
        <v>278</v>
      </c>
      <c r="D57" s="1365" t="s">
        <v>529</v>
      </c>
      <c r="E57" s="2261"/>
      <c r="F57" s="2261"/>
      <c r="G57" s="2261"/>
      <c r="H57" s="2261"/>
      <c r="I57" s="2288"/>
      <c r="J57" s="2258"/>
      <c r="K57" s="1365"/>
      <c r="L57" s="1366"/>
      <c r="P57" s="2259"/>
      <c r="Q57" s="2259"/>
      <c r="R57" s="358"/>
      <c r="S57" s="1280"/>
      <c r="T57" s="289" t="s">
        <v>468</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276</v>
      </c>
      <c r="B58" s="1345" t="s">
        <v>277</v>
      </c>
      <c r="C58" s="1345" t="s">
        <v>278</v>
      </c>
      <c r="D58" s="1345" t="s">
        <v>529</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276</v>
      </c>
      <c r="B59" s="1345" t="s">
        <v>277</v>
      </c>
      <c r="C59" s="1345" t="s">
        <v>278</v>
      </c>
      <c r="D59" s="1345" t="s">
        <v>529</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276</v>
      </c>
      <c r="B60" s="1345" t="s">
        <v>277</v>
      </c>
      <c r="C60" s="1345" t="s">
        <v>278</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276</v>
      </c>
      <c r="B61" s="1345" t="s">
        <v>277</v>
      </c>
      <c r="C61" s="1316"/>
      <c r="D61" s="1316"/>
      <c r="E61" s="2261"/>
      <c r="F61" s="2260"/>
      <c r="G61" s="1316"/>
      <c r="H61" s="1316"/>
      <c r="I61" s="1316"/>
      <c r="J61" s="1316"/>
      <c r="K61" s="1316"/>
      <c r="L61" s="1496"/>
      <c r="M61" s="1323"/>
      <c r="N61" s="1323"/>
      <c r="P61" s="1318"/>
      <c r="Q61" s="1319"/>
      <c r="R61" s="1318"/>
      <c r="S61" s="1324"/>
      <c r="T61" s="1327" t="s">
        <v>415</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276</v>
      </c>
      <c r="B62" s="1345"/>
      <c r="C62" s="1345"/>
      <c r="D62" s="1345"/>
      <c r="E62" s="2260"/>
      <c r="F62" s="1345"/>
      <c r="G62" s="1345"/>
      <c r="H62" s="1345"/>
      <c r="I62" s="1345"/>
      <c r="J62" s="1345"/>
      <c r="K62" s="1345"/>
      <c r="L62" s="1348"/>
      <c r="M62" s="1323"/>
      <c r="N62" s="1323"/>
      <c r="O62" s="520"/>
      <c r="P62" s="382"/>
      <c r="Q62" s="1346"/>
      <c r="R62" s="382"/>
      <c r="S62" s="1324"/>
      <c r="T62" s="1327" t="s">
        <v>416</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448</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4.699999999999998">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14</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4.699999999999998">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14</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31586A-40CC-61A1-710D-6C034599F536}"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7" width="8.00390625" hidden="1" customWidth="1"/>
    <col min="2" max="2" style="1368" width="6.00390625" hidden="1" customWidth="1"/>
    <col min="3" max="3" style="1637" width="3.00390625" customWidth="1"/>
    <col min="4" max="4" style="1844" width="3.00390625" customWidth="1"/>
    <col min="5" max="5" style="1637" width="6.00390625" customWidth="1"/>
    <col min="6" max="6" style="1637" width="2.7109375" hidden="1" customWidth="1"/>
    <col min="7" max="7" style="1637" width="46.7109375" customWidth="1"/>
    <col min="8" max="8" style="1637" width="42.00390625" customWidth="1"/>
    <col min="9" max="9" style="1637" width="14.00390625" customWidth="1"/>
    <col min="10" max="10" style="1626" width="3.00390625" customWidth="1"/>
    <col min="11" max="13" style="1626" width="9.140625" hidden="1"/>
    <col min="14" max="14" style="1626" width="25.7109375" hidden="1" customWidth="1"/>
    <col min="15" max="15" style="1626" width="14.421875" hidden="1" customWidth="1"/>
    <col min="16" max="19" style="227" width="9.140625" hidden="1"/>
    <col min="20" max="27" style="1637" width="9.140625" hidden="1"/>
    <col min="28" max="28" style="1637" width="8.00390625" customWidth="1"/>
    <col min="29" max="29" style="1637" width="9.140625" hidden="1"/>
  </cols>
  <sheetData>
    <row s="1644" customFormat="1" customHeight="1" ht="5.25" hidden="1">
      <c r="A1" s="498"/>
      <c r="B1" s="513"/>
      <c r="C1" s="513"/>
      <c r="D1" s="223"/>
      <c r="F1" s="513"/>
      <c r="G1" s="249" t="s">
        <v>83</v>
      </c>
      <c r="H1" s="496" t="s">
        <v>84</v>
      </c>
      <c r="I1" s="229" t="s">
        <v>85</v>
      </c>
      <c r="J1" s="249" t="s">
        <v>83</v>
      </c>
      <c r="K1" s="249"/>
      <c r="L1" s="249"/>
      <c r="M1" s="249"/>
      <c r="N1" s="250"/>
      <c r="O1" s="249"/>
      <c r="P1" s="249"/>
      <c r="Q1" s="249"/>
      <c r="R1" s="249"/>
      <c r="S1" s="249"/>
      <c r="T1" s="229"/>
      <c r="U1" s="229"/>
      <c r="V1" s="229"/>
      <c r="W1" s="229"/>
      <c r="X1" s="229"/>
      <c r="Y1" s="229"/>
      <c r="Z1" s="229"/>
      <c r="AA1" s="229"/>
      <c r="AB1" s="229"/>
      <c r="AC1" s="154" t="s">
        <v>14</v>
      </c>
    </row>
    <row s="1414" customFormat="1" customHeight="1" ht="11.25">
      <c r="A2" s="833"/>
      <c r="B2" s="230"/>
      <c r="C2" s="230"/>
      <c r="D2" s="231"/>
      <c r="E2" s="230"/>
      <c r="F2" s="230"/>
      <c r="G2" s="230"/>
      <c r="H2" s="230"/>
      <c r="I2" s="230"/>
      <c r="J2" s="249"/>
      <c r="K2" s="249"/>
      <c r="L2" s="249"/>
      <c r="M2" s="249"/>
      <c r="N2" s="250"/>
      <c r="O2" s="249"/>
      <c r="P2" s="232"/>
      <c r="Q2" s="232"/>
      <c r="R2" s="232"/>
      <c r="S2" s="232"/>
      <c r="T2" s="231"/>
      <c r="U2" s="231"/>
      <c r="V2" s="231"/>
      <c r="W2" s="231"/>
      <c r="X2" s="231"/>
      <c r="Y2" s="231"/>
      <c r="Z2" s="231"/>
      <c r="AA2" s="231"/>
      <c r="AB2" s="231"/>
      <c r="AC2" s="233">
        <v>11</v>
      </c>
    </row>
    <row s="1821" customFormat="1" customHeight="1" ht="3">
      <c r="A3" s="760"/>
      <c r="B3" s="419"/>
      <c r="C3" s="760"/>
      <c r="D3" s="166"/>
      <c r="E3" s="105"/>
      <c r="F3" s="511"/>
      <c r="G3" s="105"/>
      <c r="H3" s="105"/>
      <c r="I3" s="168"/>
      <c r="J3" s="249"/>
      <c r="K3" s="157"/>
      <c r="L3" s="157"/>
      <c r="M3" s="157"/>
      <c r="N3" s="228"/>
      <c r="O3" s="157"/>
      <c r="P3" s="227"/>
      <c r="Q3" s="227"/>
      <c r="R3" s="227"/>
      <c r="S3" s="227"/>
      <c r="AC3" s="118">
        <v>3</v>
      </c>
    </row>
    <row s="1821" customFormat="1" customHeight="1" ht="27.299999999999997">
      <c r="A4" s="760"/>
      <c r="B4" s="419"/>
      <c r="C4" s="760"/>
      <c r="D4" s="166"/>
      <c r="E4" s="2102" t="str">
        <f>NameTemplatesInListMO</f>
        <v>Перечень муниципальных районов и муниципальных образований (территорий действия тарифа)</v>
      </c>
      <c r="F4" s="2102"/>
      <c r="G4" s="2102"/>
      <c r="H4" s="2102"/>
      <c r="I4" s="2102"/>
      <c r="J4" s="249"/>
      <c r="K4" s="157"/>
      <c r="L4" s="157"/>
      <c r="M4" s="157"/>
      <c r="N4" s="228"/>
      <c r="O4" s="157"/>
      <c r="P4" s="227"/>
      <c r="Q4" s="227"/>
      <c r="R4" s="227"/>
      <c r="S4" s="227"/>
      <c r="AC4" s="118">
        <v>26</v>
      </c>
    </row>
    <row s="1821" customFormat="1" customHeight="1" ht="3">
      <c r="A5" s="760"/>
      <c r="B5" s="419"/>
      <c r="C5" s="760"/>
      <c r="D5" s="166"/>
      <c r="E5" s="105"/>
      <c r="F5" s="511"/>
      <c r="G5" s="169"/>
      <c r="H5" s="169"/>
      <c r="I5" s="170"/>
      <c r="J5" s="157"/>
      <c r="K5" s="157"/>
      <c r="L5" s="157"/>
      <c r="M5" s="157"/>
      <c r="N5" s="228"/>
      <c r="O5" s="157"/>
      <c r="P5" s="227"/>
      <c r="Q5" s="227"/>
      <c r="R5" s="227"/>
      <c r="S5" s="227"/>
      <c r="AC5" s="118">
        <v>3</v>
      </c>
    </row>
    <row s="1821" customFormat="1" customHeight="1" ht="20.25" hidden="1">
      <c r="A6" s="839"/>
      <c r="B6" s="835"/>
      <c r="C6" s="171"/>
      <c r="D6" s="166"/>
      <c r="E6" s="781"/>
      <c r="F6" s="781"/>
      <c r="G6" s="169"/>
      <c r="H6" s="172"/>
      <c r="I6" s="172"/>
      <c r="J6" s="157"/>
      <c r="K6" s="157"/>
      <c r="L6" s="157"/>
      <c r="M6" s="157"/>
      <c r="N6" s="228"/>
      <c r="O6" s="157"/>
      <c r="P6" s="227"/>
      <c r="Q6" s="227"/>
      <c r="R6" s="227"/>
      <c r="S6" s="227"/>
      <c r="AC6" s="118">
        <v>0</v>
      </c>
    </row>
    <row customHeight="1" ht="25.5" hidden="1">
      <c r="AC7" s="85">
        <v>0</v>
      </c>
    </row>
    <row s="1821" customFormat="1" customHeight="1" ht="14.699999999999998">
      <c r="A8" s="760"/>
      <c r="B8" s="419"/>
      <c r="C8" s="760"/>
      <c r="D8" s="166"/>
      <c r="E8" s="2103" t="s">
        <v>86</v>
      </c>
      <c r="F8" s="2104"/>
      <c r="G8" s="2105"/>
      <c r="H8" s="2106" t="s">
        <v>87</v>
      </c>
      <c r="I8" s="2106"/>
      <c r="J8" s="157"/>
      <c r="K8" s="157"/>
      <c r="L8" s="157"/>
      <c r="M8" s="157"/>
      <c r="N8" s="228"/>
      <c r="O8" s="157"/>
      <c r="P8" s="227"/>
      <c r="Q8" s="227"/>
      <c r="R8" s="227"/>
      <c r="S8" s="227"/>
      <c r="AC8" s="118">
        <v>14</v>
      </c>
    </row>
    <row s="1821" customFormat="1" customHeight="1" ht="21">
      <c r="A9" s="760"/>
      <c r="B9" s="419"/>
      <c r="C9" s="760"/>
      <c r="D9" s="166"/>
      <c r="E9" s="779" t="s">
        <v>88</v>
      </c>
      <c r="F9" s="779"/>
      <c r="G9" s="174" t="s">
        <v>89</v>
      </c>
      <c r="H9" s="174" t="s">
        <v>89</v>
      </c>
      <c r="I9" s="174" t="s">
        <v>85</v>
      </c>
      <c r="J9" s="157"/>
      <c r="K9" s="157"/>
      <c r="L9" s="157"/>
      <c r="M9" s="157"/>
      <c r="N9" s="228"/>
      <c r="O9" s="157"/>
      <c r="P9" s="227"/>
      <c r="Q9" s="227"/>
      <c r="R9" s="227"/>
      <c r="S9" s="227"/>
      <c r="AC9" s="118">
        <v>20</v>
      </c>
    </row>
    <row customHeight="1" ht="11.549999999999999">
      <c r="D10" s="178"/>
      <c r="E10" s="780" t="s">
        <v>90</v>
      </c>
      <c r="F10" s="780"/>
      <c r="G10" s="225" t="s">
        <v>91</v>
      </c>
      <c r="H10" s="225" t="s">
        <v>92</v>
      </c>
      <c r="I10" s="225" t="s">
        <v>93</v>
      </c>
      <c r="J10" s="188"/>
      <c r="K10" s="188"/>
      <c r="L10" s="188"/>
      <c r="M10" s="188"/>
      <c r="N10" s="173"/>
      <c r="O10" s="188"/>
      <c r="P10" s="226"/>
      <c r="Q10" s="226"/>
      <c r="R10" s="226"/>
      <c r="S10" s="226"/>
      <c r="AC10" s="85">
        <v>11</v>
      </c>
    </row>
    <row s="1821" customFormat="1" customHeight="1" ht="1.05">
      <c r="A11" s="760"/>
      <c r="B11" s="419"/>
      <c r="C11" s="760"/>
      <c r="D11" s="166"/>
      <c r="E11" s="792"/>
      <c r="F11" s="792"/>
      <c r="G11" s="175"/>
      <c r="H11" s="175"/>
      <c r="I11" s="177"/>
      <c r="J11" s="251" t="s">
        <v>94</v>
      </c>
      <c r="K11" s="157"/>
      <c r="L11" s="157"/>
      <c r="M11" s="157" t="s">
        <v>95</v>
      </c>
      <c r="N11" s="228" t="s">
        <v>96</v>
      </c>
      <c r="O11" s="157" t="s">
        <v>97</v>
      </c>
      <c r="P11" s="227"/>
      <c r="Q11" s="227"/>
      <c r="R11" s="227"/>
      <c r="S11" s="227"/>
      <c r="AC11" s="118">
        <v>1</v>
      </c>
    </row>
    <row s="1821" customFormat="1" customHeight="1" ht="15">
      <c r="A12" s="2101">
        <v>1</v>
      </c>
      <c r="B12" s="419"/>
      <c r="C12" s="760"/>
      <c r="D12" s="784"/>
      <c r="E12" s="221">
        <f>A12</f>
        <v>1</v>
      </c>
      <c r="F12" s="804" t="s">
        <v>98</v>
      </c>
      <c r="G12" s="542" t="str">
        <f>"Территория "&amp;E12</f>
        <v>Территория 1</v>
      </c>
      <c r="H12" s="794"/>
      <c r="I12" s="794"/>
      <c r="J12" s="791"/>
      <c r="K12" s="502"/>
      <c r="L12" s="502"/>
      <c r="M12" s="502"/>
      <c r="N12" s="228"/>
      <c r="O12" s="502"/>
      <c r="P12" s="227"/>
      <c r="Q12" s="227"/>
      <c r="R12" s="227"/>
      <c r="S12" s="227"/>
      <c r="AC12" s="509">
        <v>14</v>
      </c>
    </row>
    <row s="1852" customFormat="1" customHeight="1" ht="15.75">
      <c r="A13" s="2101"/>
      <c r="B13" s="419">
        <v>1</v>
      </c>
      <c r="C13" s="419"/>
      <c r="D13" s="802"/>
      <c r="E13" s="782" t="str">
        <f>A12&amp;"."&amp;B13</f>
        <v>1.1</v>
      </c>
      <c r="F13" s="797" t="s">
        <v>99</v>
      </c>
      <c r="G13" s="795" t="s">
        <v>100</v>
      </c>
      <c r="H13" s="795" t="s">
        <v>100</v>
      </c>
      <c r="I13" s="793" t="s">
        <v>101</v>
      </c>
      <c r="J13" s="502">
        <f>MERGEVALUE(G13)</f>
      </c>
      <c r="K13" s="513"/>
      <c r="L13" s="513"/>
      <c r="M13" s="502" t="str">
        <f t="array" ref="M13:M13">IF(ISERROR(MATCH(MID(N13,1,250),MID(note_ter,1,250),0)),"n","y")</f>
        <v>n</v>
      </c>
      <c r="N13" s="513"/>
      <c r="O13" s="502" t="str">
        <f>H13&amp;"("&amp;I13&amp;")"</f>
        <v>Город Вологда(19701000)</v>
      </c>
      <c r="P13" s="419"/>
      <c r="Q13" s="419"/>
      <c r="R13" s="422"/>
      <c r="S13" s="419"/>
      <c r="T13" s="419"/>
      <c r="U13" s="419"/>
      <c r="V13" s="424"/>
      <c r="W13" s="424"/>
      <c r="X13" s="421"/>
      <c r="Y13" s="421"/>
      <c r="Z13" s="421"/>
      <c r="AA13" s="421"/>
      <c r="AB13" s="421"/>
      <c r="AC13" s="425">
        <v>15</v>
      </c>
    </row>
    <row s="1852" customFormat="1" customHeight="1" ht="15.75">
      <c r="A14" s="2101"/>
      <c r="B14" s="419"/>
      <c r="C14" s="414"/>
      <c r="D14" s="803"/>
      <c r="E14" s="423"/>
      <c r="F14" s="179"/>
      <c r="G14" s="417" t="s">
        <v>102</v>
      </c>
      <c r="H14" s="189"/>
      <c r="I14" s="426"/>
      <c r="J14" s="513"/>
      <c r="K14" s="513"/>
      <c r="L14" s="513"/>
      <c r="M14" s="513"/>
      <c r="N14" s="502"/>
      <c r="O14" s="513"/>
      <c r="P14" s="419"/>
      <c r="Q14" s="419"/>
      <c r="R14" s="422"/>
      <c r="S14" s="419"/>
      <c r="T14" s="419"/>
      <c r="U14" s="419"/>
      <c r="V14" s="424"/>
      <c r="W14" s="424"/>
      <c r="X14" s="421"/>
      <c r="Y14" s="421"/>
      <c r="Z14" s="421"/>
      <c r="AA14" s="421"/>
      <c r="AB14" s="421"/>
      <c r="AC14" s="425">
        <v>15</v>
      </c>
    </row>
    <row s="1821" customFormat="1" customHeight="1" ht="14.699999999999998">
      <c r="A15" s="760"/>
      <c r="B15" s="419"/>
      <c r="C15" s="760"/>
      <c r="D15" s="784"/>
      <c r="E15" s="796"/>
      <c r="F15" s="180"/>
      <c r="G15" s="418" t="s">
        <v>103</v>
      </c>
      <c r="H15" s="180"/>
      <c r="I15" s="181"/>
      <c r="J15" s="251"/>
      <c r="K15" s="157"/>
      <c r="L15" s="157"/>
      <c r="M15" s="157"/>
      <c r="N15" s="228" t="s">
        <v>104</v>
      </c>
      <c r="O15" s="157"/>
      <c r="P15" s="227"/>
      <c r="Q15" s="227"/>
      <c r="R15" s="227"/>
      <c r="S15" s="227"/>
      <c r="AC15" s="118">
        <v>14</v>
      </c>
    </row>
    <row s="1821" customFormat="1" customHeight="1" ht="22.049999999999997">
      <c r="A16" s="760"/>
      <c r="B16" s="419"/>
      <c r="C16" s="760"/>
      <c r="D16" s="167"/>
      <c r="E16" s="182"/>
      <c r="F16" s="182"/>
      <c r="G16" s="182"/>
      <c r="H16" s="182"/>
      <c r="I16" s="182"/>
      <c r="J16" s="157"/>
      <c r="K16" s="157"/>
      <c r="L16" s="157"/>
      <c r="M16" s="157"/>
      <c r="N16" s="228"/>
      <c r="O16" s="157"/>
      <c r="P16" s="227"/>
      <c r="Q16" s="227"/>
      <c r="R16" s="227"/>
      <c r="S16" s="227"/>
      <c r="AC16" s="118">
        <v>21</v>
      </c>
    </row>
    <row s="1821" customFormat="1" customHeight="1" ht="14.699999999999998">
      <c r="A17" s="760"/>
      <c r="B17" s="419"/>
      <c r="C17" s="760"/>
      <c r="D17" s="167"/>
      <c r="E17" s="85"/>
      <c r="F17" s="760"/>
      <c r="G17" s="85"/>
      <c r="H17" s="85"/>
      <c r="I17" s="85"/>
      <c r="J17" s="157"/>
      <c r="K17" s="157"/>
      <c r="L17" s="157"/>
      <c r="M17" s="157"/>
      <c r="N17" s="228"/>
      <c r="O17" s="157"/>
      <c r="P17" s="227"/>
      <c r="Q17" s="227"/>
      <c r="R17" s="227"/>
      <c r="S17" s="227"/>
      <c r="AC17" s="118">
        <v>14</v>
      </c>
    </row>
    <row s="1821" customFormat="1" customHeight="1" ht="1.05">
      <c r="A18" s="760"/>
      <c r="B18" s="419"/>
      <c r="C18" s="760"/>
      <c r="D18" s="167"/>
      <c r="E18" s="85"/>
      <c r="F18" s="760"/>
      <c r="G18" s="85"/>
      <c r="H18" s="85"/>
      <c r="I18" s="85"/>
      <c r="J18" s="157"/>
      <c r="K18" s="157"/>
      <c r="L18" s="157"/>
      <c r="M18" s="157"/>
      <c r="N18" s="228"/>
      <c r="O18" s="157"/>
      <c r="P18" s="227"/>
      <c r="Q18" s="227"/>
      <c r="R18" s="227"/>
      <c r="S18" s="227"/>
      <c r="AC18" s="118">
        <v>1</v>
      </c>
    </row>
    <row s="1066" customFormat="1" customHeight="1" ht="10.5">
      <c r="B19" s="836"/>
      <c r="D19" s="184"/>
      <c r="J19" s="157"/>
      <c r="K19" s="157"/>
      <c r="L19" s="157"/>
      <c r="M19" s="157"/>
      <c r="N19" s="228"/>
      <c r="O19" s="157"/>
      <c r="P19" s="227"/>
      <c r="Q19" s="227"/>
      <c r="R19" s="227"/>
      <c r="S19" s="227"/>
      <c r="AC19" s="183">
        <v>10</v>
      </c>
    </row>
    <row s="1066" customFormat="1" customHeight="1" ht="10.5">
      <c r="B20" s="836"/>
      <c r="D20" s="184"/>
      <c r="J20" s="157"/>
      <c r="K20" s="157"/>
      <c r="L20" s="157"/>
      <c r="M20" s="157"/>
      <c r="N20" s="228"/>
      <c r="O20" s="157"/>
      <c r="P20" s="227"/>
      <c r="Q20" s="227"/>
      <c r="R20" s="227"/>
      <c r="S20" s="227"/>
      <c r="AC20" s="183">
        <v>10</v>
      </c>
    </row>
    <row customHeight="1" ht="14.699999999999998">
      <c r="AC21" s="85">
        <v>14</v>
      </c>
    </row>
    <row customHeight="1" ht="14.699999999999998">
      <c r="AC22" s="85">
        <v>14</v>
      </c>
    </row>
    <row customHeight="1" ht="14.699999999999998">
      <c r="AC23" s="85">
        <v>14</v>
      </c>
    </row>
    <row customHeight="1" ht="14.699999999999998">
      <c r="H24" s="66"/>
      <c r="AC24" s="85">
        <v>14</v>
      </c>
    </row>
    <row customHeight="1" ht="14.699999999999998">
      <c r="AC25" s="85">
        <v>14</v>
      </c>
    </row>
    <row customHeight="1" ht="14.699999999999998">
      <c r="AC26" s="85">
        <v>14</v>
      </c>
    </row>
    <row customHeight="1" ht="14.699999999999998">
      <c r="AC27" s="85">
        <v>14</v>
      </c>
    </row>
    <row customHeight="1" ht="14.699999999999998">
      <c r="J28" s="85"/>
      <c r="K28" s="85"/>
      <c r="L28" s="85"/>
      <c r="AC28" s="85">
        <v>14</v>
      </c>
    </row>
    <row customHeight="1" ht="22.5" hidden="1">
      <c r="A29" s="760" t="s">
        <v>82</v>
      </c>
      <c r="B29" s="419">
        <v>0</v>
      </c>
      <c r="C29" s="760">
        <v>3</v>
      </c>
      <c r="D29" s="167">
        <v>3</v>
      </c>
      <c r="E29" s="85">
        <v>6</v>
      </c>
      <c r="F29" s="760">
        <v>0</v>
      </c>
      <c r="G29" s="85">
        <v>46</v>
      </c>
      <c r="H29" s="85">
        <v>42</v>
      </c>
      <c r="I29" s="85">
        <v>14</v>
      </c>
      <c r="J29" s="157">
        <v>3</v>
      </c>
      <c r="K29" s="157">
        <v>0</v>
      </c>
      <c r="L29" s="157">
        <v>0</v>
      </c>
      <c r="M29" s="157">
        <v>0</v>
      </c>
      <c r="N29" s="228">
        <v>0</v>
      </c>
      <c r="O29" s="157">
        <v>0</v>
      </c>
      <c r="P29" s="227">
        <v>0</v>
      </c>
      <c r="Q29" s="227">
        <v>0</v>
      </c>
      <c r="R29" s="227">
        <v>0</v>
      </c>
      <c r="S29" s="227">
        <v>0</v>
      </c>
      <c r="T29" s="85">
        <v>0</v>
      </c>
      <c r="U29" s="85">
        <v>0</v>
      </c>
      <c r="V29" s="85">
        <v>0</v>
      </c>
      <c r="W29" s="85">
        <v>0</v>
      </c>
      <c r="X29" s="85">
        <v>0</v>
      </c>
      <c r="Y29" s="85">
        <v>0</v>
      </c>
      <c r="Z29" s="85">
        <v>0</v>
      </c>
      <c r="AA29" s="85">
        <v>0</v>
      </c>
      <c r="AB29" s="85">
        <v>8</v>
      </c>
      <c r="AC29" s="85">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BC0C59-4C7B-9ABA-22C3-63356E4CECEF}"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C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397</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398</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530</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531</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483</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484</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406</v>
      </c>
      <c r="P6" s="2259"/>
      <c r="Q6" s="2259">
        <v>1</v>
      </c>
      <c r="R6" s="359"/>
      <c r="S6" s="1495">
        <f>$J6</f>
      </c>
      <c r="T6" s="288" t="s">
        <v>407</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485</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753"/>
      <c r="AC7" s="2267"/>
      <c r="AD7" s="2109" t="s">
        <v>66</v>
      </c>
      <c r="AE7" s="2267"/>
      <c r="AF7" s="2109" t="s">
        <v>66</v>
      </c>
      <c r="AG7" s="753"/>
      <c r="AH7" s="753"/>
      <c r="AI7" s="753"/>
      <c r="AJ7" s="753"/>
      <c r="AK7" s="753"/>
      <c r="AL7" s="753"/>
      <c r="AM7" s="753"/>
      <c r="AN7" s="2267"/>
      <c r="AO7" s="2109" t="s">
        <v>66</v>
      </c>
      <c r="AP7" s="2289"/>
      <c r="AQ7" s="2109" t="s">
        <v>66</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27"/>
      <c r="AC8" s="2268"/>
      <c r="AD8" s="2109"/>
      <c r="AE8" s="2268"/>
      <c r="AF8" s="2109"/>
      <c r="AG8" s="327"/>
      <c r="AH8" s="327"/>
      <c r="AI8" s="327"/>
      <c r="AJ8" s="327"/>
      <c r="AK8" s="327"/>
      <c r="AL8" s="327"/>
      <c r="AM8" s="327"/>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602"/>
      <c r="X9" s="602"/>
      <c r="Y9" s="602"/>
      <c r="Z9" s="602"/>
      <c r="AA9" s="602"/>
      <c r="AB9" s="602"/>
      <c r="AC9" s="369"/>
      <c r="AD9" s="369"/>
      <c r="AE9" s="369"/>
      <c r="AF9" s="369"/>
      <c r="AG9" s="369"/>
      <c r="AH9" s="602"/>
      <c r="AI9" s="602"/>
      <c r="AJ9" s="602"/>
      <c r="AK9" s="602"/>
      <c r="AL9" s="602"/>
      <c r="AM9" s="369"/>
      <c r="AN9" s="369"/>
      <c r="AO9" s="369"/>
      <c r="AP9" s="369"/>
      <c r="AQ9" s="369"/>
      <c r="AR9" s="369"/>
      <c r="AS9" s="1260" t="s">
        <v>487</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412</v>
      </c>
      <c r="U10" s="369"/>
      <c r="V10" s="369"/>
      <c r="W10" s="602"/>
      <c r="X10" s="602"/>
      <c r="Y10" s="602"/>
      <c r="Z10" s="602"/>
      <c r="AA10" s="602"/>
      <c r="AB10" s="602"/>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602"/>
      <c r="X11" s="602"/>
      <c r="Y11" s="602"/>
      <c r="Z11" s="602"/>
      <c r="AA11" s="602"/>
      <c r="AB11" s="602"/>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2"/>
      <c r="AN15" s="2269"/>
      <c r="AO15" s="2270" t="s">
        <v>66</v>
      </c>
      <c r="AP15" s="2269"/>
      <c r="AQ15" s="2270" t="s">
        <v>66</v>
      </c>
      <c r="AY15" s="1157">
        <v>0</v>
      </c>
    </row>
    <row customHeight="1" ht="14.25" hidden="1">
      <c r="AG16" s="1362"/>
      <c r="AH16" s="1362"/>
      <c r="AI16" s="1362"/>
      <c r="AJ16" s="1362"/>
      <c r="AK16" s="1362"/>
      <c r="AL16" s="1362"/>
      <c r="AM16" s="1362"/>
      <c r="AN16" s="2270"/>
      <c r="AO16" s="2270"/>
      <c r="AP16" s="2270"/>
      <c r="AQ16" s="2270"/>
      <c r="AY16" s="1157">
        <v>0</v>
      </c>
    </row>
    <row customHeight="1" ht="14.25" hidden="1">
      <c r="AQ17" s="329"/>
      <c r="AY17" s="1157">
        <v>0</v>
      </c>
    </row>
    <row s="1368" customFormat="1" customHeight="1" ht="22.5" hidden="1">
      <c r="L18" s="1480"/>
      <c r="M18" s="1364"/>
      <c r="N18" s="1364"/>
      <c r="O18" s="1369" t="s">
        <v>417</v>
      </c>
      <c r="P18" s="1364"/>
      <c r="Q18" s="1373"/>
      <c r="R18" s="1373"/>
      <c r="S18" s="731"/>
      <c r="W18" s="1368"/>
      <c r="X18" s="1368"/>
      <c r="Y18" s="1368"/>
      <c r="Z18" s="1368"/>
      <c r="AA18" s="1368"/>
      <c r="AB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B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418</v>
      </c>
      <c r="P20" s="1364"/>
      <c r="Q20" s="1444"/>
      <c r="R20" s="1444"/>
      <c r="S20" s="731"/>
      <c r="T20" s="1162" t="s">
        <v>419</v>
      </c>
      <c r="W20" s="1368"/>
      <c r="X20" s="1368"/>
      <c r="Y20" s="1368"/>
      <c r="Z20" s="1368"/>
      <c r="AA20" s="1368"/>
      <c r="AB20" s="1368"/>
      <c r="AD20" s="188" t="s">
        <v>420</v>
      </c>
      <c r="AF20" s="188" t="s">
        <v>421</v>
      </c>
      <c r="AG20" s="1162" t="s">
        <v>419</v>
      </c>
      <c r="AH20" s="1368"/>
      <c r="AI20" s="1368"/>
      <c r="AJ20" s="1368"/>
      <c r="AK20" s="1368"/>
      <c r="AL20" s="1368"/>
      <c r="AO20" s="188" t="s">
        <v>422</v>
      </c>
      <c r="AQ20" s="188" t="s">
        <v>421</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1637"/>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2266"/>
      <c r="AC28" s="2266"/>
      <c r="AD28" s="2266"/>
      <c r="AE28" s="2266"/>
      <c r="AF28" s="328"/>
      <c r="AG28" s="2266" t="str">
        <f>IF(TITLE_DATE_PR_CHANGE="",IF(TITLE_DATE_PR="","",TITLE_DATE_PR),TITLE_DATE_PR_CHANGE)</f>
        <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2253"/>
      <c r="AC29" s="2253"/>
      <c r="AD29" s="2253"/>
      <c r="AE29" s="2253"/>
      <c r="AF29" s="328"/>
      <c r="AG29" s="2253" t="str">
        <f>IF(TITLE_NUMBER_PR_CHANGE="",IF(TITLE_NUMBER_PR="","",TITLE_NUMBER_PR),TITLE_NUMBER_PR_CHANGE)</f>
        <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2266"/>
      <c r="AC32" s="2266"/>
      <c r="AD32" s="2266"/>
      <c r="AE32" s="2266"/>
      <c r="AF32" s="328"/>
      <c r="AG32" s="2266" t="str">
        <f>IF(TITLE_DATE_PR_CHANGE="",IF(TITLE_DATE_PR="","",TITLE_DATE_PR),TITLE_DATE_PR_CHANGE)</f>
        <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2253"/>
      <c r="AC33" s="2253"/>
      <c r="AD33" s="2253"/>
      <c r="AE33" s="2253"/>
      <c r="AF33" s="328"/>
      <c r="AG33" s="2253" t="str">
        <f>IF(TITLE_NUMBER_PR_CHANGE="",IF(TITLE_NUMBER_PR="","",TITLE_NUMBER_PR),TITLE_NUMBER_PR_CHANGE)</f>
        <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1637"/>
      <c r="AC34" s="328"/>
      <c r="AD34" s="328"/>
      <c r="AE34" s="328"/>
      <c r="AF34" s="280" t="s">
        <v>427</v>
      </c>
      <c r="AG34" s="328"/>
      <c r="AH34" s="1637"/>
      <c r="AI34" s="1637"/>
      <c r="AJ34" s="1637"/>
      <c r="AK34" s="1637"/>
      <c r="AL34" s="1637"/>
      <c r="AM34" s="328"/>
      <c r="AN34" s="328"/>
      <c r="AO34" s="328"/>
      <c r="AP34" s="328"/>
      <c r="AQ34" s="280" t="s">
        <v>427</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301</v>
      </c>
      <c r="AY36" s="1157">
        <v>14</v>
      </c>
    </row>
    <row customHeight="1" ht="14.699999999999998">
      <c r="Q37" s="378"/>
      <c r="R37" s="378"/>
      <c r="S37" s="2275" t="s">
        <v>88</v>
      </c>
      <c r="T37" s="2211" t="s">
        <v>428</v>
      </c>
      <c r="U37" s="303"/>
      <c r="V37" s="2276" t="s">
        <v>429</v>
      </c>
      <c r="W37" s="2293"/>
      <c r="X37" s="2293"/>
      <c r="Y37" s="2293"/>
      <c r="Z37" s="2293"/>
      <c r="AA37" s="2293"/>
      <c r="AB37" s="2293"/>
      <c r="AC37" s="2277"/>
      <c r="AD37" s="2277"/>
      <c r="AE37" s="2278"/>
      <c r="AF37" s="2279" t="s">
        <v>430</v>
      </c>
      <c r="AG37" s="2276" t="s">
        <v>429</v>
      </c>
      <c r="AH37" s="2277"/>
      <c r="AI37" s="2277"/>
      <c r="AJ37" s="2277"/>
      <c r="AK37" s="2277"/>
      <c r="AL37" s="2277"/>
      <c r="AM37" s="2277"/>
      <c r="AN37" s="2277"/>
      <c r="AO37" s="2277"/>
      <c r="AP37" s="2278"/>
      <c r="AQ37" s="2279" t="s">
        <v>431</v>
      </c>
      <c r="AR37" s="2282" t="s">
        <v>432</v>
      </c>
      <c r="AS37" s="2129"/>
      <c r="AY37" s="1157">
        <v>14</v>
      </c>
    </row>
    <row customHeight="1" ht="19.95">
      <c r="Q38" s="378"/>
      <c r="R38" s="378"/>
      <c r="S38" s="2275"/>
      <c r="T38" s="2211"/>
      <c r="U38" s="1033"/>
      <c r="V38" s="2368" t="s">
        <v>532</v>
      </c>
      <c r="W38" s="2367" t="s">
        <v>533</v>
      </c>
      <c r="X38" s="2367"/>
      <c r="Y38" s="2367"/>
      <c r="Z38" s="2367" t="s">
        <v>534</v>
      </c>
      <c r="AA38" s="2367"/>
      <c r="AB38" s="2367"/>
      <c r="AC38" s="2296" t="s">
        <v>436</v>
      </c>
      <c r="AD38" s="2315"/>
      <c r="AE38" s="2316"/>
      <c r="AF38" s="2280"/>
      <c r="AG38" s="2368" t="s">
        <v>532</v>
      </c>
      <c r="AH38" s="2367" t="s">
        <v>533</v>
      </c>
      <c r="AI38" s="2367"/>
      <c r="AJ38" s="2367"/>
      <c r="AK38" s="2367" t="s">
        <v>534</v>
      </c>
      <c r="AL38" s="2367"/>
      <c r="AM38" s="2367"/>
      <c r="AN38" s="2296" t="s">
        <v>436</v>
      </c>
      <c r="AO38" s="2315"/>
      <c r="AP38" s="2316"/>
      <c r="AQ38" s="2280"/>
      <c r="AR38" s="2283"/>
      <c r="AS38" s="2129"/>
      <c r="AY38" s="1157">
        <v>19</v>
      </c>
    </row>
    <row s="1637" customFormat="1" customHeight="1" ht="19.95">
      <c r="A39" s="1368"/>
      <c r="B39" s="1368"/>
      <c r="C39" s="1368"/>
      <c r="D39" s="1368"/>
      <c r="E39" s="1368"/>
      <c r="F39" s="1368"/>
      <c r="G39" s="1368"/>
      <c r="H39" s="1368"/>
      <c r="I39" s="1368"/>
      <c r="J39" s="1368"/>
      <c r="K39" s="1368"/>
      <c r="L39" s="1953"/>
      <c r="M39" s="1364"/>
      <c r="N39" s="1364"/>
      <c r="O39" s="1364"/>
      <c r="P39" s="1967"/>
      <c r="Q39" s="378"/>
      <c r="R39" s="378"/>
      <c r="S39" s="2275"/>
      <c r="T39" s="2211"/>
      <c r="U39" s="1033"/>
      <c r="V39" s="2368"/>
      <c r="W39" s="2367" t="s">
        <v>535</v>
      </c>
      <c r="X39" s="2367" t="s">
        <v>536</v>
      </c>
      <c r="Y39" s="2367"/>
      <c r="Z39" s="2367" t="s">
        <v>537</v>
      </c>
      <c r="AA39" s="2367" t="s">
        <v>536</v>
      </c>
      <c r="AB39" s="2367"/>
      <c r="AC39" s="2297"/>
      <c r="AD39" s="2317"/>
      <c r="AE39" s="2318"/>
      <c r="AF39" s="2280"/>
      <c r="AG39" s="2368"/>
      <c r="AH39" s="2367" t="s">
        <v>535</v>
      </c>
      <c r="AI39" s="2367" t="s">
        <v>536</v>
      </c>
      <c r="AJ39" s="2367"/>
      <c r="AK39" s="2367" t="s">
        <v>537</v>
      </c>
      <c r="AL39" s="2367" t="s">
        <v>536</v>
      </c>
      <c r="AM39" s="2367"/>
      <c r="AN39" s="2297"/>
      <c r="AO39" s="2317"/>
      <c r="AP39" s="2318"/>
      <c r="AQ39" s="2280"/>
      <c r="AR39" s="2283"/>
      <c r="AS39" s="2129"/>
      <c r="AT39" s="1638"/>
      <c r="AU39" s="1638"/>
      <c r="AV39" s="1638"/>
      <c r="AW39" s="1638"/>
      <c r="AX39" s="1638"/>
      <c r="AY39" s="1633">
        <v>19</v>
      </c>
    </row>
    <row customHeight="1" ht="61.949999999999996">
      <c r="A40" s="1372"/>
      <c r="B40" s="1372" t="s">
        <v>137</v>
      </c>
      <c r="C40" s="1372" t="s">
        <v>138</v>
      </c>
      <c r="D40" s="1372" t="s">
        <v>139</v>
      </c>
      <c r="E40" s="1366" t="s">
        <v>437</v>
      </c>
      <c r="F40" s="1366" t="s">
        <v>438</v>
      </c>
      <c r="G40" s="1366" t="s">
        <v>439</v>
      </c>
      <c r="H40" s="1366"/>
      <c r="I40" s="1366" t="s">
        <v>490</v>
      </c>
      <c r="J40" s="1366" t="s">
        <v>442</v>
      </c>
      <c r="K40" s="1366" t="s">
        <v>491</v>
      </c>
      <c r="L40" s="1366" t="s">
        <v>418</v>
      </c>
      <c r="Q40" s="378"/>
      <c r="R40" s="378"/>
      <c r="S40" s="2275"/>
      <c r="T40" s="2211"/>
      <c r="U40" s="304"/>
      <c r="V40" s="2368"/>
      <c r="W40" s="2367"/>
      <c r="X40" s="1985" t="s">
        <v>538</v>
      </c>
      <c r="Y40" s="1985" t="s">
        <v>539</v>
      </c>
      <c r="Z40" s="2367"/>
      <c r="AA40" s="1985" t="s">
        <v>540</v>
      </c>
      <c r="AB40" s="1985" t="s">
        <v>541</v>
      </c>
      <c r="AC40" s="1491" t="s">
        <v>446</v>
      </c>
      <c r="AD40" s="2272" t="s">
        <v>447</v>
      </c>
      <c r="AE40" s="2273"/>
      <c r="AF40" s="2281"/>
      <c r="AG40" s="2368"/>
      <c r="AH40" s="2367"/>
      <c r="AI40" s="1985" t="s">
        <v>538</v>
      </c>
      <c r="AJ40" s="1985" t="s">
        <v>539</v>
      </c>
      <c r="AK40" s="2367"/>
      <c r="AL40" s="1985" t="s">
        <v>540</v>
      </c>
      <c r="AM40" s="1985" t="s">
        <v>541</v>
      </c>
      <c r="AN40" s="1491" t="s">
        <v>446</v>
      </c>
      <c r="AO40" s="2272" t="s">
        <v>447</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109</v>
      </c>
      <c r="T41" s="1257" t="s">
        <v>110</v>
      </c>
      <c r="U41" s="1247" t="str">
        <f>OFFSET(U41,0,-1)</f>
        <v>2</v>
      </c>
      <c r="V41" s="1484">
        <f>OFFSET(V41,0,-1)+1</f>
        <v>3</v>
      </c>
      <c r="W41" s="1343"/>
      <c r="X41" s="1343"/>
      <c r="Y41" s="1343"/>
      <c r="Z41" s="1343"/>
      <c r="AA41" s="1343"/>
      <c r="AB41" s="1343"/>
      <c r="AC41" s="1484">
        <f>OFFSET(AC41,0,-1)+1</f>
        <v>1</v>
      </c>
      <c r="AD41" s="2274">
        <f>OFFSET(AD41,0,-1)+1</f>
        <v>2</v>
      </c>
      <c r="AE41" s="2274"/>
      <c r="AF41" s="1484">
        <f>OFFSET(AF41,0,-2)+1</f>
        <v>3</v>
      </c>
      <c r="AG41" s="1484">
        <f>OFFSET(AG41,0,-1)+1</f>
        <v>4</v>
      </c>
      <c r="AH41" s="1958"/>
      <c r="AI41" s="1958"/>
      <c r="AJ41" s="1958"/>
      <c r="AK41" s="1958"/>
      <c r="AL41" s="1958"/>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251</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125</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251</v>
      </c>
      <c r="B43" s="1365" t="s">
        <v>252</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397</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398</v>
      </c>
      <c r="AU43" s="502"/>
      <c r="AV43" s="502" t="str">
        <f>IF(T43="","",T43)</f>
        <v>Территория действия тарифа</v>
      </c>
      <c r="AW43" s="502"/>
      <c r="AX43" s="502"/>
      <c r="AY43" s="1157">
        <v>23</v>
      </c>
    </row>
    <row customHeight="1" ht="24">
      <c r="A44" s="1365" t="s">
        <v>251</v>
      </c>
      <c r="B44" s="1365" t="s">
        <v>252</v>
      </c>
      <c r="C44" s="1365" t="s">
        <v>253</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530</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531</v>
      </c>
      <c r="AU44" s="502"/>
      <c r="AV44" s="502" t="str">
        <f>IF(T44="","",T44)</f>
        <v>Наименование централизованной системы горячего водоснабжения</v>
      </c>
      <c r="AW44" s="502"/>
      <c r="AX44" s="502"/>
      <c r="AY44" s="1157">
        <v>23</v>
      </c>
    </row>
    <row customHeight="1" ht="24">
      <c r="A45" s="1365" t="s">
        <v>251</v>
      </c>
      <c r="B45" s="1365" t="s">
        <v>252</v>
      </c>
      <c r="C45" s="1365" t="s">
        <v>253</v>
      </c>
      <c r="D45" s="1365" t="s">
        <v>542</v>
      </c>
      <c r="E45" s="2261"/>
      <c r="F45" s="2261"/>
      <c r="G45" s="2261"/>
      <c r="H45" s="2261"/>
      <c r="I45" s="2258" t="str">
        <f>S44&amp;".1"</f>
        <v>...1</v>
      </c>
      <c r="J45" s="1365"/>
      <c r="K45" s="1365"/>
      <c r="L45" s="1366"/>
      <c r="P45" s="2259">
        <v>1</v>
      </c>
      <c r="Q45" s="1483"/>
      <c r="R45" s="358"/>
      <c r="S45" s="1495" t="str">
        <f>$I45</f>
        <v>...1</v>
      </c>
      <c r="T45" s="287" t="s">
        <v>483</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484</v>
      </c>
      <c r="AU45" s="502"/>
      <c r="AV45" s="502" t="str">
        <f>IF(T45="","",T45)</f>
        <v>Наименование признака дифференциации</v>
      </c>
      <c r="AW45" s="502"/>
      <c r="AX45" s="502"/>
      <c r="AY45" s="1157">
        <v>23</v>
      </c>
    </row>
    <row customHeight="1" ht="24">
      <c r="A46" s="1365" t="s">
        <v>251</v>
      </c>
      <c r="B46" s="1365" t="s">
        <v>252</v>
      </c>
      <c r="C46" s="1365" t="s">
        <v>253</v>
      </c>
      <c r="D46" s="1365" t="s">
        <v>542</v>
      </c>
      <c r="E46" s="2261"/>
      <c r="F46" s="2261"/>
      <c r="G46" s="2261"/>
      <c r="H46" s="2261"/>
      <c r="I46" s="2288"/>
      <c r="J46" s="2258" t="str">
        <f>I45&amp;".1"</f>
        <v>...1.1</v>
      </c>
      <c r="K46" s="1365"/>
      <c r="L46" s="1366" t="s">
        <v>406</v>
      </c>
      <c r="P46" s="2259"/>
      <c r="Q46" s="2259">
        <v>1</v>
      </c>
      <c r="R46" s="359"/>
      <c r="S46" s="1495" t="str">
        <f>$J46</f>
        <v>...1.1</v>
      </c>
      <c r="T46" s="288" t="s">
        <v>407</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485</v>
      </c>
      <c r="AU46" s="502"/>
      <c r="AV46" s="502" t="str">
        <f>IF(T46="","",T46)</f>
        <v>Группа потребителей</v>
      </c>
      <c r="AW46" s="502"/>
      <c r="AX46" s="502"/>
      <c r="AY46" s="1157">
        <v>23</v>
      </c>
    </row>
    <row customHeight="1" ht="24">
      <c r="A47" s="1365" t="s">
        <v>251</v>
      </c>
      <c r="B47" s="1365" t="s">
        <v>252</v>
      </c>
      <c r="C47" s="1365" t="s">
        <v>253</v>
      </c>
      <c r="D47" s="1365" t="s">
        <v>542</v>
      </c>
      <c r="E47" s="2261"/>
      <c r="F47" s="2261"/>
      <c r="G47" s="2261"/>
      <c r="H47" s="2261"/>
      <c r="I47" s="2288"/>
      <c r="J47" s="2288"/>
      <c r="K47" s="2258" t="str">
        <f>J46&amp;".1"</f>
        <v>...1.1.1</v>
      </c>
      <c r="L47" s="1366"/>
      <c r="P47" s="2259"/>
      <c r="Q47" s="2259"/>
      <c r="R47" s="359">
        <v>1</v>
      </c>
      <c r="S47" s="1495" t="str">
        <f>$K47</f>
        <v>...1.1.1</v>
      </c>
      <c r="T47" s="1439"/>
      <c r="U47" s="302"/>
      <c r="V47" s="753"/>
      <c r="W47" s="753"/>
      <c r="X47" s="753"/>
      <c r="Y47" s="753"/>
      <c r="Z47" s="753"/>
      <c r="AA47" s="753"/>
      <c r="AB47" s="753"/>
      <c r="AC47" s="2269"/>
      <c r="AD47" s="2270" t="s">
        <v>66</v>
      </c>
      <c r="AE47" s="2269"/>
      <c r="AF47" s="2270" t="s">
        <v>66</v>
      </c>
      <c r="AG47" s="753"/>
      <c r="AH47" s="753"/>
      <c r="AI47" s="753"/>
      <c r="AJ47" s="753"/>
      <c r="AK47" s="753"/>
      <c r="AL47" s="753"/>
      <c r="AM47" s="753"/>
      <c r="AN47" s="2267"/>
      <c r="AO47" s="2109" t="s">
        <v>66</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251</v>
      </c>
      <c r="B48" s="1365" t="s">
        <v>252</v>
      </c>
      <c r="C48" s="1365" t="s">
        <v>253</v>
      </c>
      <c r="D48" s="1365" t="s">
        <v>542</v>
      </c>
      <c r="E48" s="2261"/>
      <c r="F48" s="2261"/>
      <c r="G48" s="2261"/>
      <c r="H48" s="2261"/>
      <c r="I48" s="2288"/>
      <c r="J48" s="2288"/>
      <c r="K48" s="2258"/>
      <c r="L48" s="1366"/>
      <c r="P48" s="2259"/>
      <c r="Q48" s="2259"/>
      <c r="R48" s="359"/>
      <c r="S48" s="1492"/>
      <c r="T48" s="302"/>
      <c r="U48" s="302"/>
      <c r="V48" s="1362"/>
      <c r="W48" s="1362"/>
      <c r="X48" s="1362"/>
      <c r="Y48" s="1362"/>
      <c r="Z48" s="1362"/>
      <c r="AA48" s="1362"/>
      <c r="AB48" s="1362"/>
      <c r="AC48" s="2270"/>
      <c r="AD48" s="2270"/>
      <c r="AE48" s="2270"/>
      <c r="AF48" s="2270"/>
      <c r="AG48" s="327"/>
      <c r="AH48" s="327"/>
      <c r="AI48" s="327"/>
      <c r="AJ48" s="327"/>
      <c r="AK48" s="327"/>
      <c r="AL48" s="327"/>
      <c r="AM48" s="327"/>
      <c r="AN48" s="2268"/>
      <c r="AO48" s="2109"/>
      <c r="AP48" s="2290"/>
      <c r="AQ48" s="2109"/>
      <c r="AR48" s="1441"/>
      <c r="AS48" s="2351"/>
      <c r="AU48" s="502"/>
      <c r="AV48" s="502" t="str">
        <f>IF(T48="","",T48)</f>
        <v/>
      </c>
      <c r="AW48" s="502"/>
      <c r="AX48" s="502"/>
      <c r="AY48" s="1157">
        <v>0</v>
      </c>
    </row>
    <row customHeight="1" ht="21">
      <c r="A49" s="1365" t="s">
        <v>251</v>
      </c>
      <c r="B49" s="1365" t="s">
        <v>252</v>
      </c>
      <c r="C49" s="1365" t="s">
        <v>253</v>
      </c>
      <c r="D49" s="1365" t="s">
        <v>542</v>
      </c>
      <c r="E49" s="2261"/>
      <c r="F49" s="2261"/>
      <c r="G49" s="2261"/>
      <c r="H49" s="2261"/>
      <c r="I49" s="2288"/>
      <c r="J49" s="2258"/>
      <c r="K49" s="1365"/>
      <c r="L49" s="1366"/>
      <c r="P49" s="2259"/>
      <c r="Q49" s="2259"/>
      <c r="R49" s="358"/>
      <c r="S49" s="1280"/>
      <c r="T49" s="289" t="s">
        <v>486</v>
      </c>
      <c r="U49" s="369"/>
      <c r="V49" s="369"/>
      <c r="W49" s="602"/>
      <c r="X49" s="602"/>
      <c r="Y49" s="602"/>
      <c r="Z49" s="602"/>
      <c r="AA49" s="602"/>
      <c r="AB49" s="602"/>
      <c r="AC49" s="369"/>
      <c r="AD49" s="369"/>
      <c r="AE49" s="369"/>
      <c r="AF49" s="369"/>
      <c r="AG49" s="369"/>
      <c r="AH49" s="602"/>
      <c r="AI49" s="602"/>
      <c r="AJ49" s="602"/>
      <c r="AK49" s="602"/>
      <c r="AL49" s="602"/>
      <c r="AM49" s="369"/>
      <c r="AN49" s="369"/>
      <c r="AO49" s="369"/>
      <c r="AP49" s="369"/>
      <c r="AQ49" s="369"/>
      <c r="AR49" s="369"/>
      <c r="AS49" s="1260" t="s">
        <v>487</v>
      </c>
      <c r="AU49" s="502"/>
      <c r="AV49" s="502" t="str">
        <f>IF(T49="","",T49)</f>
        <v>Добавить значение признака дифференциации</v>
      </c>
      <c r="AW49" s="502"/>
      <c r="AX49" s="502"/>
      <c r="AY49" s="1157">
        <v>20</v>
      </c>
    </row>
    <row customHeight="1" ht="22.049999999999997">
      <c r="A50" s="1365" t="s">
        <v>251</v>
      </c>
      <c r="B50" s="1365" t="s">
        <v>252</v>
      </c>
      <c r="C50" s="1365" t="s">
        <v>253</v>
      </c>
      <c r="D50" s="1365" t="s">
        <v>542</v>
      </c>
      <c r="E50" s="2261"/>
      <c r="F50" s="2261"/>
      <c r="G50" s="2261"/>
      <c r="H50" s="2261"/>
      <c r="I50" s="2258"/>
      <c r="J50" s="1365"/>
      <c r="K50" s="1365"/>
      <c r="L50" s="1366"/>
      <c r="P50" s="2259"/>
      <c r="Q50" s="1483"/>
      <c r="R50" s="358"/>
      <c r="S50" s="1280"/>
      <c r="T50" s="367" t="s">
        <v>412</v>
      </c>
      <c r="U50" s="369"/>
      <c r="V50" s="369"/>
      <c r="W50" s="602"/>
      <c r="X50" s="602"/>
      <c r="Y50" s="602"/>
      <c r="Z50" s="602"/>
      <c r="AA50" s="602"/>
      <c r="AB50" s="602"/>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251</v>
      </c>
      <c r="B51" s="1365" t="s">
        <v>252</v>
      </c>
      <c r="C51" s="1365" t="s">
        <v>253</v>
      </c>
      <c r="D51" s="1365" t="s">
        <v>542</v>
      </c>
      <c r="E51" s="2261"/>
      <c r="F51" s="2261"/>
      <c r="G51" s="2261"/>
      <c r="H51" s="2260"/>
      <c r="I51" s="1365"/>
      <c r="J51" s="1365"/>
      <c r="K51" s="1365"/>
      <c r="L51" s="1366"/>
      <c r="M51" s="1367"/>
      <c r="N51" s="1367"/>
      <c r="O51" s="539"/>
      <c r="P51" s="362"/>
      <c r="Q51" s="377"/>
      <c r="R51" s="357"/>
      <c r="S51" s="1280"/>
      <c r="T51" s="374" t="s">
        <v>488</v>
      </c>
      <c r="U51" s="369"/>
      <c r="V51" s="369"/>
      <c r="W51" s="602"/>
      <c r="X51" s="602"/>
      <c r="Y51" s="602"/>
      <c r="Z51" s="602"/>
      <c r="AA51" s="602"/>
      <c r="AB51" s="602"/>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251</v>
      </c>
      <c r="B52" s="1345" t="s">
        <v>252</v>
      </c>
      <c r="C52" s="1316"/>
      <c r="D52" s="1316"/>
      <c r="E52" s="2261"/>
      <c r="F52" s="2260"/>
      <c r="G52" s="1316"/>
      <c r="H52" s="1316"/>
      <c r="I52" s="1316"/>
      <c r="J52" s="1316"/>
      <c r="K52" s="1316"/>
      <c r="L52" s="1496"/>
      <c r="M52" s="1323"/>
      <c r="N52" s="1323"/>
      <c r="P52" s="1318"/>
      <c r="Q52" s="1319"/>
      <c r="R52" s="1318"/>
      <c r="S52" s="1324"/>
      <c r="T52" s="1327" t="s">
        <v>415</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251</v>
      </c>
      <c r="B53" s="1345"/>
      <c r="C53" s="1345"/>
      <c r="D53" s="1345"/>
      <c r="E53" s="2260"/>
      <c r="F53" s="1345"/>
      <c r="G53" s="1345"/>
      <c r="H53" s="1345"/>
      <c r="I53" s="1345"/>
      <c r="J53" s="1345"/>
      <c r="K53" s="1345"/>
      <c r="L53" s="1348"/>
      <c r="M53" s="1323"/>
      <c r="N53" s="1323"/>
      <c r="O53" s="520"/>
      <c r="P53" s="382"/>
      <c r="Q53" s="1346"/>
      <c r="R53" s="382"/>
      <c r="S53" s="1324"/>
      <c r="T53" s="1327" t="s">
        <v>416</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448</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82</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633">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7A73EA-65BB-14B6-7C71-11A292566FC3}"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B1" s="329"/>
      <c r="AC1" s="329"/>
      <c r="AM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397</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398</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530</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531</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483</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484</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406</v>
      </c>
      <c r="P6" s="2259"/>
      <c r="Q6" s="2259">
        <v>1</v>
      </c>
      <c r="R6" s="359"/>
      <c r="S6" s="1495">
        <f>$J6</f>
      </c>
      <c r="T6" s="288" t="s">
        <v>407</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485</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1259"/>
      <c r="AC7" s="2267"/>
      <c r="AD7" s="2109" t="s">
        <v>66</v>
      </c>
      <c r="AE7" s="2267"/>
      <c r="AF7" s="2109" t="s">
        <v>66</v>
      </c>
      <c r="AG7" s="753"/>
      <c r="AH7" s="753"/>
      <c r="AI7" s="753"/>
      <c r="AJ7" s="753"/>
      <c r="AK7" s="753"/>
      <c r="AL7" s="753"/>
      <c r="AM7" s="1259"/>
      <c r="AN7" s="2267"/>
      <c r="AO7" s="2109" t="s">
        <v>66</v>
      </c>
      <c r="AP7" s="2289"/>
      <c r="AQ7" s="2109" t="s">
        <v>66</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30" t="str">
        <f>AC7&amp;"-"&amp;AE7</f>
        <v>-</v>
      </c>
      <c r="AC8" s="2268"/>
      <c r="AD8" s="2109"/>
      <c r="AE8" s="2268"/>
      <c r="AF8" s="2109"/>
      <c r="AG8" s="327"/>
      <c r="AH8" s="327"/>
      <c r="AI8" s="327"/>
      <c r="AJ8" s="327"/>
      <c r="AK8" s="327"/>
      <c r="AL8" s="327"/>
      <c r="AM8" s="330" t="str">
        <f>AN7&amp;"-"&amp;AP7</f>
        <v>-</v>
      </c>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602"/>
      <c r="X9" s="602"/>
      <c r="Y9" s="602"/>
      <c r="Z9" s="602"/>
      <c r="AA9" s="602"/>
      <c r="AB9" s="369"/>
      <c r="AC9" s="369"/>
      <c r="AD9" s="369"/>
      <c r="AE9" s="369"/>
      <c r="AF9" s="369"/>
      <c r="AG9" s="369"/>
      <c r="AH9" s="602"/>
      <c r="AI9" s="602"/>
      <c r="AJ9" s="602"/>
      <c r="AK9" s="602"/>
      <c r="AL9" s="602"/>
      <c r="AM9" s="369"/>
      <c r="AN9" s="369"/>
      <c r="AO9" s="369"/>
      <c r="AP9" s="369"/>
      <c r="AQ9" s="369"/>
      <c r="AR9" s="369"/>
      <c r="AS9" s="1260" t="s">
        <v>487</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412</v>
      </c>
      <c r="U10" s="369"/>
      <c r="V10" s="369"/>
      <c r="W10" s="602"/>
      <c r="X10" s="602"/>
      <c r="Y10" s="602"/>
      <c r="Z10" s="602"/>
      <c r="AA10" s="602"/>
      <c r="AB10" s="369"/>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602"/>
      <c r="X11" s="602"/>
      <c r="Y11" s="602"/>
      <c r="Z11" s="602"/>
      <c r="AA11" s="602"/>
      <c r="AB11" s="369"/>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3"/>
      <c r="AN15" s="2269"/>
      <c r="AO15" s="2270" t="s">
        <v>66</v>
      </c>
      <c r="AP15" s="2269"/>
      <c r="AQ15" s="2270" t="s">
        <v>66</v>
      </c>
      <c r="AY15" s="1157">
        <v>0</v>
      </c>
    </row>
    <row customHeight="1" ht="14.25" hidden="1">
      <c r="AG16" s="1362"/>
      <c r="AH16" s="1362"/>
      <c r="AI16" s="1362"/>
      <c r="AJ16" s="1362"/>
      <c r="AK16" s="1362"/>
      <c r="AL16" s="1362"/>
      <c r="AM16" s="330" t="str">
        <f>AN15&amp;"-"&amp;AP15</f>
        <v>-</v>
      </c>
      <c r="AN16" s="2270"/>
      <c r="AO16" s="2270"/>
      <c r="AP16" s="2270"/>
      <c r="AQ16" s="2270"/>
      <c r="AY16" s="1157">
        <v>0</v>
      </c>
    </row>
    <row customHeight="1" ht="14.25" hidden="1">
      <c r="AQ17" s="329"/>
      <c r="AY17" s="1157">
        <v>0</v>
      </c>
    </row>
    <row s="1368" customFormat="1" customHeight="1" ht="22.5" hidden="1">
      <c r="L18" s="1480"/>
      <c r="M18" s="1364"/>
      <c r="N18" s="1364"/>
      <c r="O18" s="1369" t="s">
        <v>417</v>
      </c>
      <c r="P18" s="1364"/>
      <c r="Q18" s="1373"/>
      <c r="R18" s="1373"/>
      <c r="S18" s="731"/>
      <c r="W18" s="1368"/>
      <c r="X18" s="1368"/>
      <c r="Y18" s="1368"/>
      <c r="Z18" s="1368"/>
      <c r="AA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418</v>
      </c>
      <c r="P20" s="1364"/>
      <c r="Q20" s="1444"/>
      <c r="R20" s="1444"/>
      <c r="S20" s="731"/>
      <c r="T20" s="1162" t="s">
        <v>419</v>
      </c>
      <c r="W20" s="1368"/>
      <c r="X20" s="1368"/>
      <c r="Y20" s="1368"/>
      <c r="Z20" s="1368"/>
      <c r="AA20" s="1368"/>
      <c r="AD20" s="188" t="s">
        <v>420</v>
      </c>
      <c r="AF20" s="188" t="s">
        <v>421</v>
      </c>
      <c r="AG20" s="1162" t="s">
        <v>419</v>
      </c>
      <c r="AH20" s="1368"/>
      <c r="AI20" s="1368"/>
      <c r="AJ20" s="1368"/>
      <c r="AK20" s="1368"/>
      <c r="AL20" s="1368"/>
      <c r="AO20" s="188" t="s">
        <v>422</v>
      </c>
      <c r="AQ20" s="188" t="s">
        <v>421</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511"/>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2266"/>
      <c r="AC28" s="2266"/>
      <c r="AD28" s="2266"/>
      <c r="AE28" s="2266"/>
      <c r="AF28" s="328"/>
      <c r="AG28" s="2266" t="str">
        <f>IF(TITLE_DATE_PR_CHANGE="",IF(TITLE_DATE_PR="","",TITLE_DATE_PR),TITLE_DATE_PR_CHANGE)</f>
        <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2253"/>
      <c r="AC29" s="2253"/>
      <c r="AD29" s="2253"/>
      <c r="AE29" s="2253"/>
      <c r="AF29" s="328"/>
      <c r="AG29" s="2253" t="str">
        <f>IF(TITLE_NUMBER_PR_CHANGE="",IF(TITLE_NUMBER_PR="","",TITLE_NUMBER_PR),TITLE_NUMBER_PR_CHANGE)</f>
        <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2266"/>
      <c r="AC32" s="2266"/>
      <c r="AD32" s="2266"/>
      <c r="AE32" s="2266"/>
      <c r="AF32" s="328"/>
      <c r="AG32" s="2266" t="str">
        <f>IF(TITLE_DATE_PR_CHANGE="",IF(TITLE_DATE_PR="","",TITLE_DATE_PR),TITLE_DATE_PR_CHANGE)</f>
        <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2253"/>
      <c r="AC33" s="2253"/>
      <c r="AD33" s="2253"/>
      <c r="AE33" s="2253"/>
      <c r="AF33" s="328"/>
      <c r="AG33" s="2253" t="str">
        <f>IF(TITLE_NUMBER_PR_CHANGE="",IF(TITLE_NUMBER_PR="","",TITLE_NUMBER_PR),TITLE_NUMBER_PR_CHANGE)</f>
        <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328"/>
      <c r="AC34" s="328"/>
      <c r="AD34" s="328"/>
      <c r="AE34" s="328"/>
      <c r="AF34" s="280" t="s">
        <v>427</v>
      </c>
      <c r="AG34" s="328"/>
      <c r="AH34" s="1637"/>
      <c r="AI34" s="1637"/>
      <c r="AJ34" s="1637"/>
      <c r="AK34" s="1637"/>
      <c r="AL34" s="1637"/>
      <c r="AM34" s="328"/>
      <c r="AN34" s="328"/>
      <c r="AO34" s="328"/>
      <c r="AP34" s="328"/>
      <c r="AQ34" s="280" t="s">
        <v>427</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301</v>
      </c>
      <c r="AY36" s="1157">
        <v>14</v>
      </c>
    </row>
    <row customHeight="1" ht="14.699999999999998">
      <c r="Q37" s="378"/>
      <c r="R37" s="378"/>
      <c r="S37" s="2275" t="s">
        <v>88</v>
      </c>
      <c r="T37" s="2211" t="s">
        <v>428</v>
      </c>
      <c r="U37" s="303"/>
      <c r="V37" s="2276" t="s">
        <v>429</v>
      </c>
      <c r="W37" s="2277"/>
      <c r="X37" s="2277"/>
      <c r="Y37" s="2277"/>
      <c r="Z37" s="2277"/>
      <c r="AA37" s="2277"/>
      <c r="AB37" s="2277"/>
      <c r="AC37" s="2277"/>
      <c r="AD37" s="2277"/>
      <c r="AE37" s="2278"/>
      <c r="AF37" s="2279" t="s">
        <v>430</v>
      </c>
      <c r="AG37" s="2276" t="s">
        <v>429</v>
      </c>
      <c r="AH37" s="2277"/>
      <c r="AI37" s="2277"/>
      <c r="AJ37" s="2277"/>
      <c r="AK37" s="2277"/>
      <c r="AL37" s="2277"/>
      <c r="AM37" s="2277"/>
      <c r="AN37" s="2277"/>
      <c r="AO37" s="2277"/>
      <c r="AP37" s="2278"/>
      <c r="AQ37" s="2279" t="s">
        <v>431</v>
      </c>
      <c r="AR37" s="2282" t="s">
        <v>432</v>
      </c>
      <c r="AS37" s="2129"/>
      <c r="AY37" s="1157">
        <v>14</v>
      </c>
    </row>
    <row s="1637" customFormat="1" customHeight="1" ht="19.95">
      <c r="A38" s="1368"/>
      <c r="B38" s="1368"/>
      <c r="C38" s="1368"/>
      <c r="D38" s="1368"/>
      <c r="E38" s="1368"/>
      <c r="F38" s="1368"/>
      <c r="G38" s="1368"/>
      <c r="H38" s="1368"/>
      <c r="I38" s="1368"/>
      <c r="J38" s="1368"/>
      <c r="K38" s="1368"/>
      <c r="L38" s="1982"/>
      <c r="M38" s="1364"/>
      <c r="N38" s="1364"/>
      <c r="O38" s="1364"/>
      <c r="P38" s="1983"/>
      <c r="Q38" s="378"/>
      <c r="R38" s="378"/>
      <c r="S38" s="2275"/>
      <c r="T38" s="2211"/>
      <c r="U38" s="1033"/>
      <c r="V38" s="2368" t="s">
        <v>532</v>
      </c>
      <c r="W38" s="2367" t="s">
        <v>533</v>
      </c>
      <c r="X38" s="2367"/>
      <c r="Y38" s="2367"/>
      <c r="Z38" s="2367" t="s">
        <v>534</v>
      </c>
      <c r="AA38" s="2367"/>
      <c r="AB38" s="2367"/>
      <c r="AC38" s="2296" t="s">
        <v>436</v>
      </c>
      <c r="AD38" s="2315"/>
      <c r="AE38" s="2316"/>
      <c r="AF38" s="2280"/>
      <c r="AG38" s="2368" t="s">
        <v>532</v>
      </c>
      <c r="AH38" s="2367" t="s">
        <v>533</v>
      </c>
      <c r="AI38" s="2367"/>
      <c r="AJ38" s="2367"/>
      <c r="AK38" s="2367" t="s">
        <v>534</v>
      </c>
      <c r="AL38" s="2367"/>
      <c r="AM38" s="2367"/>
      <c r="AN38" s="2296" t="s">
        <v>436</v>
      </c>
      <c r="AO38" s="2315"/>
      <c r="AP38" s="2316"/>
      <c r="AQ38" s="2280"/>
      <c r="AR38" s="2283"/>
      <c r="AS38" s="2129"/>
      <c r="AT38" s="1638"/>
      <c r="AU38" s="1638"/>
      <c r="AV38" s="1638"/>
      <c r="AW38" s="1638"/>
      <c r="AX38" s="1638"/>
      <c r="AY38" s="1633">
        <v>19</v>
      </c>
    </row>
    <row customHeight="1" ht="19.95">
      <c r="Q39" s="378"/>
      <c r="R39" s="378"/>
      <c r="S39" s="2275"/>
      <c r="T39" s="2211"/>
      <c r="U39" s="1033"/>
      <c r="V39" s="2368"/>
      <c r="W39" s="2367" t="s">
        <v>535</v>
      </c>
      <c r="X39" s="2367" t="s">
        <v>536</v>
      </c>
      <c r="Y39" s="2367"/>
      <c r="Z39" s="2367" t="s">
        <v>537</v>
      </c>
      <c r="AA39" s="2367" t="s">
        <v>536</v>
      </c>
      <c r="AB39" s="2367"/>
      <c r="AC39" s="2297"/>
      <c r="AD39" s="2317"/>
      <c r="AE39" s="2318"/>
      <c r="AF39" s="2280"/>
      <c r="AG39" s="2368"/>
      <c r="AH39" s="2367" t="s">
        <v>535</v>
      </c>
      <c r="AI39" s="2367" t="s">
        <v>536</v>
      </c>
      <c r="AJ39" s="2367"/>
      <c r="AK39" s="2367" t="s">
        <v>537</v>
      </c>
      <c r="AL39" s="2367" t="s">
        <v>536</v>
      </c>
      <c r="AM39" s="2367"/>
      <c r="AN39" s="2297"/>
      <c r="AO39" s="2317"/>
      <c r="AP39" s="2318"/>
      <c r="AQ39" s="2280"/>
      <c r="AR39" s="2283"/>
      <c r="AS39" s="2129"/>
      <c r="AY39" s="1157">
        <v>19</v>
      </c>
    </row>
    <row customHeight="1" ht="61.949999999999996">
      <c r="A40" s="1372"/>
      <c r="B40" s="1372" t="s">
        <v>137</v>
      </c>
      <c r="C40" s="1372" t="s">
        <v>138</v>
      </c>
      <c r="D40" s="1372" t="s">
        <v>139</v>
      </c>
      <c r="E40" s="1366" t="s">
        <v>437</v>
      </c>
      <c r="F40" s="1366" t="s">
        <v>438</v>
      </c>
      <c r="G40" s="1366" t="s">
        <v>439</v>
      </c>
      <c r="H40" s="1366"/>
      <c r="I40" s="1366" t="s">
        <v>490</v>
      </c>
      <c r="J40" s="1366" t="s">
        <v>442</v>
      </c>
      <c r="K40" s="1366" t="s">
        <v>491</v>
      </c>
      <c r="L40" s="1366" t="s">
        <v>418</v>
      </c>
      <c r="Q40" s="378"/>
      <c r="R40" s="378"/>
      <c r="S40" s="2275"/>
      <c r="T40" s="2211"/>
      <c r="U40" s="304"/>
      <c r="V40" s="2368"/>
      <c r="W40" s="2367"/>
      <c r="X40" s="1985" t="s">
        <v>538</v>
      </c>
      <c r="Y40" s="1985" t="s">
        <v>539</v>
      </c>
      <c r="Z40" s="2367"/>
      <c r="AA40" s="1985" t="s">
        <v>540</v>
      </c>
      <c r="AB40" s="1985" t="s">
        <v>541</v>
      </c>
      <c r="AC40" s="1491" t="s">
        <v>446</v>
      </c>
      <c r="AD40" s="2272" t="s">
        <v>447</v>
      </c>
      <c r="AE40" s="2273"/>
      <c r="AF40" s="2281"/>
      <c r="AG40" s="2368"/>
      <c r="AH40" s="2367"/>
      <c r="AI40" s="1985" t="s">
        <v>538</v>
      </c>
      <c r="AJ40" s="1985" t="s">
        <v>539</v>
      </c>
      <c r="AK40" s="2367"/>
      <c r="AL40" s="1985" t="s">
        <v>540</v>
      </c>
      <c r="AM40" s="1985" t="s">
        <v>541</v>
      </c>
      <c r="AN40" s="1491" t="s">
        <v>446</v>
      </c>
      <c r="AO40" s="2272" t="s">
        <v>447</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109</v>
      </c>
      <c r="T41" s="1257" t="s">
        <v>110</v>
      </c>
      <c r="U41" s="1247" t="str">
        <f>OFFSET(U41,0,-1)</f>
        <v>2</v>
      </c>
      <c r="V41" s="1484">
        <f>OFFSET(V41,0,-1)+1</f>
        <v>3</v>
      </c>
      <c r="W41" s="1981"/>
      <c r="X41" s="1981"/>
      <c r="Y41" s="1981"/>
      <c r="Z41" s="1981"/>
      <c r="AA41" s="1981"/>
      <c r="AB41" s="1484">
        <f>OFFSET(AB41,0,-1)+1</f>
        <v>1</v>
      </c>
      <c r="AC41" s="1484">
        <f>OFFSET(AC41,0,-1)+1</f>
        <v>2</v>
      </c>
      <c r="AD41" s="2274">
        <f>OFFSET(AD41,0,-1)+1</f>
        <v>3</v>
      </c>
      <c r="AE41" s="2274"/>
      <c r="AF41" s="1484">
        <f>OFFSET(AF41,0,-2)+1</f>
        <v>4</v>
      </c>
      <c r="AG41" s="1484">
        <f>OFFSET(AG41,0,-1)+1</f>
        <v>5</v>
      </c>
      <c r="AH41" s="1981"/>
      <c r="AI41" s="1981"/>
      <c r="AJ41" s="1981"/>
      <c r="AK41" s="1981"/>
      <c r="AL41" s="1981"/>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256</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125</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256</v>
      </c>
      <c r="B43" s="1365" t="s">
        <v>257</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397</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398</v>
      </c>
      <c r="AU43" s="502"/>
      <c r="AV43" s="502" t="str">
        <f>IF(T43="","",T43)</f>
        <v>Территория действия тарифа</v>
      </c>
      <c r="AW43" s="502"/>
      <c r="AX43" s="502"/>
      <c r="AY43" s="1157">
        <v>23</v>
      </c>
    </row>
    <row customHeight="1" ht="24">
      <c r="A44" s="1365" t="s">
        <v>256</v>
      </c>
      <c r="B44" s="1365" t="s">
        <v>257</v>
      </c>
      <c r="C44" s="1365" t="s">
        <v>258</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530</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531</v>
      </c>
      <c r="AU44" s="502"/>
      <c r="AV44" s="502" t="str">
        <f>IF(T44="","",T44)</f>
        <v>Наименование централизованной системы горячего водоснабжения</v>
      </c>
      <c r="AW44" s="502"/>
      <c r="AX44" s="502"/>
      <c r="AY44" s="1157">
        <v>23</v>
      </c>
    </row>
    <row customHeight="1" ht="24">
      <c r="A45" s="1365" t="s">
        <v>256</v>
      </c>
      <c r="B45" s="1365" t="s">
        <v>257</v>
      </c>
      <c r="C45" s="1365" t="s">
        <v>258</v>
      </c>
      <c r="D45" s="1365" t="s">
        <v>543</v>
      </c>
      <c r="E45" s="2261"/>
      <c r="F45" s="2261"/>
      <c r="G45" s="2261"/>
      <c r="H45" s="2261"/>
      <c r="I45" s="2258" t="str">
        <f>S44&amp;".1"</f>
        <v>...1</v>
      </c>
      <c r="J45" s="1365"/>
      <c r="K45" s="1365"/>
      <c r="L45" s="1366"/>
      <c r="P45" s="2259">
        <v>1</v>
      </c>
      <c r="Q45" s="1483"/>
      <c r="R45" s="358"/>
      <c r="S45" s="1495" t="str">
        <f>$I45</f>
        <v>...1</v>
      </c>
      <c r="T45" s="287" t="s">
        <v>483</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484</v>
      </c>
      <c r="AU45" s="502"/>
      <c r="AV45" s="502" t="str">
        <f>IF(T45="","",T45)</f>
        <v>Наименование признака дифференциации</v>
      </c>
      <c r="AW45" s="502"/>
      <c r="AX45" s="502"/>
      <c r="AY45" s="1157">
        <v>23</v>
      </c>
    </row>
    <row customHeight="1" ht="24">
      <c r="A46" s="1365" t="s">
        <v>256</v>
      </c>
      <c r="B46" s="1365" t="s">
        <v>257</v>
      </c>
      <c r="C46" s="1365" t="s">
        <v>258</v>
      </c>
      <c r="D46" s="1365" t="s">
        <v>543</v>
      </c>
      <c r="E46" s="2261"/>
      <c r="F46" s="2261"/>
      <c r="G46" s="2261"/>
      <c r="H46" s="2261"/>
      <c r="I46" s="2288"/>
      <c r="J46" s="2258" t="str">
        <f>I45&amp;".1"</f>
        <v>...1.1</v>
      </c>
      <c r="K46" s="1365"/>
      <c r="L46" s="1366" t="s">
        <v>406</v>
      </c>
      <c r="P46" s="2259"/>
      <c r="Q46" s="2259">
        <v>1</v>
      </c>
      <c r="R46" s="359"/>
      <c r="S46" s="1495" t="str">
        <f>$J46</f>
        <v>...1.1</v>
      </c>
      <c r="T46" s="288" t="s">
        <v>407</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485</v>
      </c>
      <c r="AU46" s="502"/>
      <c r="AV46" s="502" t="str">
        <f>IF(T46="","",T46)</f>
        <v>Группа потребителей</v>
      </c>
      <c r="AW46" s="502"/>
      <c r="AX46" s="502"/>
      <c r="AY46" s="1157">
        <v>23</v>
      </c>
    </row>
    <row customHeight="1" ht="24">
      <c r="A47" s="1365" t="s">
        <v>256</v>
      </c>
      <c r="B47" s="1365" t="s">
        <v>257</v>
      </c>
      <c r="C47" s="1365" t="s">
        <v>258</v>
      </c>
      <c r="D47" s="1365" t="s">
        <v>543</v>
      </c>
      <c r="E47" s="2261"/>
      <c r="F47" s="2261"/>
      <c r="G47" s="2261"/>
      <c r="H47" s="2261"/>
      <c r="I47" s="2288"/>
      <c r="J47" s="2288"/>
      <c r="K47" s="2258" t="str">
        <f>J46&amp;".1"</f>
        <v>...1.1.1</v>
      </c>
      <c r="L47" s="1366"/>
      <c r="P47" s="2259"/>
      <c r="Q47" s="2259"/>
      <c r="R47" s="359">
        <v>1</v>
      </c>
      <c r="S47" s="1495" t="str">
        <f>$K47</f>
        <v>...1.1.1</v>
      </c>
      <c r="T47" s="1439"/>
      <c r="U47" s="302"/>
      <c r="V47" s="1362"/>
      <c r="W47" s="1362"/>
      <c r="X47" s="1362"/>
      <c r="Y47" s="1362"/>
      <c r="Z47" s="1362"/>
      <c r="AA47" s="1362"/>
      <c r="AB47" s="1363"/>
      <c r="AC47" s="2269"/>
      <c r="AD47" s="2270" t="s">
        <v>66</v>
      </c>
      <c r="AE47" s="2269"/>
      <c r="AF47" s="2270" t="s">
        <v>66</v>
      </c>
      <c r="AG47" s="753"/>
      <c r="AH47" s="753"/>
      <c r="AI47" s="753"/>
      <c r="AJ47" s="753"/>
      <c r="AK47" s="753"/>
      <c r="AL47" s="753"/>
      <c r="AM47" s="1259"/>
      <c r="AN47" s="2267"/>
      <c r="AO47" s="2109" t="s">
        <v>66</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256</v>
      </c>
      <c r="B48" s="1365" t="s">
        <v>257</v>
      </c>
      <c r="C48" s="1365" t="s">
        <v>258</v>
      </c>
      <c r="D48" s="1365" t="s">
        <v>543</v>
      </c>
      <c r="E48" s="2261"/>
      <c r="F48" s="2261"/>
      <c r="G48" s="2261"/>
      <c r="H48" s="2261"/>
      <c r="I48" s="2288"/>
      <c r="J48" s="2288"/>
      <c r="K48" s="2258"/>
      <c r="L48" s="1366"/>
      <c r="P48" s="2259"/>
      <c r="Q48" s="2259"/>
      <c r="R48" s="359"/>
      <c r="S48" s="1492"/>
      <c r="T48" s="302"/>
      <c r="U48" s="302"/>
      <c r="V48" s="1362"/>
      <c r="W48" s="1362"/>
      <c r="X48" s="1362"/>
      <c r="Y48" s="1362"/>
      <c r="Z48" s="1362"/>
      <c r="AA48" s="1362"/>
      <c r="AB48" s="330" t="str">
        <f>AC47&amp;"-"&amp;AE47</f>
        <v>-</v>
      </c>
      <c r="AC48" s="2270"/>
      <c r="AD48" s="2270"/>
      <c r="AE48" s="2270"/>
      <c r="AF48" s="2270"/>
      <c r="AG48" s="327"/>
      <c r="AH48" s="327"/>
      <c r="AI48" s="327"/>
      <c r="AJ48" s="327"/>
      <c r="AK48" s="327"/>
      <c r="AL48" s="327"/>
      <c r="AM48" s="330" t="str">
        <f>AN47&amp;"-"&amp;AP47</f>
        <v>-</v>
      </c>
      <c r="AN48" s="2268"/>
      <c r="AO48" s="2109"/>
      <c r="AP48" s="2290"/>
      <c r="AQ48" s="2109"/>
      <c r="AR48" s="1441"/>
      <c r="AS48" s="2351"/>
      <c r="AU48" s="502"/>
      <c r="AV48" s="502" t="str">
        <f>IF(T48="","",T48)</f>
        <v/>
      </c>
      <c r="AW48" s="502"/>
      <c r="AX48" s="502"/>
      <c r="AY48" s="1157">
        <v>0</v>
      </c>
    </row>
    <row customHeight="1" ht="21">
      <c r="A49" s="1365" t="s">
        <v>256</v>
      </c>
      <c r="B49" s="1365" t="s">
        <v>257</v>
      </c>
      <c r="C49" s="1365" t="s">
        <v>258</v>
      </c>
      <c r="D49" s="1365" t="s">
        <v>543</v>
      </c>
      <c r="E49" s="2261"/>
      <c r="F49" s="2261"/>
      <c r="G49" s="2261"/>
      <c r="H49" s="2261"/>
      <c r="I49" s="2288"/>
      <c r="J49" s="2258"/>
      <c r="K49" s="1365"/>
      <c r="L49" s="1366"/>
      <c r="P49" s="2259"/>
      <c r="Q49" s="2259"/>
      <c r="R49" s="358"/>
      <c r="S49" s="1280"/>
      <c r="T49" s="289" t="s">
        <v>486</v>
      </c>
      <c r="U49" s="369"/>
      <c r="V49" s="369"/>
      <c r="W49" s="602"/>
      <c r="X49" s="602"/>
      <c r="Y49" s="602"/>
      <c r="Z49" s="602"/>
      <c r="AA49" s="602"/>
      <c r="AB49" s="369"/>
      <c r="AC49" s="369"/>
      <c r="AD49" s="369"/>
      <c r="AE49" s="369"/>
      <c r="AF49" s="369"/>
      <c r="AG49" s="369"/>
      <c r="AH49" s="602"/>
      <c r="AI49" s="602"/>
      <c r="AJ49" s="602"/>
      <c r="AK49" s="602"/>
      <c r="AL49" s="602"/>
      <c r="AM49" s="369"/>
      <c r="AN49" s="369"/>
      <c r="AO49" s="369"/>
      <c r="AP49" s="369"/>
      <c r="AQ49" s="369"/>
      <c r="AR49" s="369"/>
      <c r="AS49" s="1260" t="s">
        <v>487</v>
      </c>
      <c r="AU49" s="502"/>
      <c r="AV49" s="502" t="str">
        <f>IF(T49="","",T49)</f>
        <v>Добавить значение признака дифференциации</v>
      </c>
      <c r="AW49" s="502"/>
      <c r="AX49" s="502"/>
      <c r="AY49" s="1157">
        <v>20</v>
      </c>
    </row>
    <row customHeight="1" ht="22.049999999999997">
      <c r="A50" s="1365" t="s">
        <v>256</v>
      </c>
      <c r="B50" s="1365" t="s">
        <v>257</v>
      </c>
      <c r="C50" s="1365" t="s">
        <v>258</v>
      </c>
      <c r="D50" s="1365" t="s">
        <v>543</v>
      </c>
      <c r="E50" s="2261"/>
      <c r="F50" s="2261"/>
      <c r="G50" s="2261"/>
      <c r="H50" s="2261"/>
      <c r="I50" s="2258"/>
      <c r="J50" s="1365"/>
      <c r="K50" s="1365"/>
      <c r="L50" s="1366"/>
      <c r="P50" s="2259"/>
      <c r="Q50" s="1483"/>
      <c r="R50" s="358"/>
      <c r="S50" s="1280"/>
      <c r="T50" s="367" t="s">
        <v>412</v>
      </c>
      <c r="U50" s="369"/>
      <c r="V50" s="369"/>
      <c r="W50" s="602"/>
      <c r="X50" s="602"/>
      <c r="Y50" s="602"/>
      <c r="Z50" s="602"/>
      <c r="AA50" s="602"/>
      <c r="AB50" s="369"/>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256</v>
      </c>
      <c r="B51" s="1365" t="s">
        <v>257</v>
      </c>
      <c r="C51" s="1365" t="s">
        <v>258</v>
      </c>
      <c r="D51" s="1365" t="s">
        <v>543</v>
      </c>
      <c r="E51" s="2261"/>
      <c r="F51" s="2261"/>
      <c r="G51" s="2261"/>
      <c r="H51" s="2260"/>
      <c r="I51" s="1365"/>
      <c r="J51" s="1365"/>
      <c r="K51" s="1365"/>
      <c r="L51" s="1366"/>
      <c r="M51" s="1367"/>
      <c r="N51" s="1367"/>
      <c r="O51" s="539"/>
      <c r="P51" s="362"/>
      <c r="Q51" s="377"/>
      <c r="R51" s="357"/>
      <c r="S51" s="1280"/>
      <c r="T51" s="374" t="s">
        <v>488</v>
      </c>
      <c r="U51" s="369"/>
      <c r="V51" s="369"/>
      <c r="W51" s="602"/>
      <c r="X51" s="602"/>
      <c r="Y51" s="602"/>
      <c r="Z51" s="602"/>
      <c r="AA51" s="602"/>
      <c r="AB51" s="369"/>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256</v>
      </c>
      <c r="B52" s="1345" t="s">
        <v>257</v>
      </c>
      <c r="C52" s="1316"/>
      <c r="D52" s="1316"/>
      <c r="E52" s="2261"/>
      <c r="F52" s="2260"/>
      <c r="G52" s="1316"/>
      <c r="H52" s="1316"/>
      <c r="I52" s="1316"/>
      <c r="J52" s="1316"/>
      <c r="K52" s="1316"/>
      <c r="L52" s="1496"/>
      <c r="M52" s="1323"/>
      <c r="N52" s="1323"/>
      <c r="P52" s="1318"/>
      <c r="Q52" s="1319"/>
      <c r="R52" s="1318"/>
      <c r="S52" s="1324"/>
      <c r="T52" s="1327" t="s">
        <v>415</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256</v>
      </c>
      <c r="B53" s="1345"/>
      <c r="C53" s="1345"/>
      <c r="D53" s="1345"/>
      <c r="E53" s="2260"/>
      <c r="F53" s="1345"/>
      <c r="G53" s="1345"/>
      <c r="H53" s="1345"/>
      <c r="I53" s="1345"/>
      <c r="J53" s="1345"/>
      <c r="K53" s="1345"/>
      <c r="L53" s="1348"/>
      <c r="M53" s="1323"/>
      <c r="N53" s="1323"/>
      <c r="O53" s="520"/>
      <c r="P53" s="382"/>
      <c r="Q53" s="1346"/>
      <c r="R53" s="382"/>
      <c r="S53" s="1324"/>
      <c r="T53" s="1327" t="s">
        <v>416</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448</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82</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157">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55BECD-7677-C05B-5BB2-CE9614FB83A6}"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125</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397</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398</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530</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531</v>
      </c>
      <c r="BE4" s="502"/>
      <c r="BF4" s="502" t="str">
        <f>IF(T4="","",T4)</f>
        <v>Наименование централизованной системы горячего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402</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403</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22</v>
      </c>
      <c r="AL8" s="2109" t="s">
        <v>66</v>
      </c>
      <c r="AM8" s="2194"/>
      <c r="AN8" s="2207">
        <v>1</v>
      </c>
      <c r="AO8" s="2359"/>
      <c r="AP8" s="2360" t="s">
        <v>66</v>
      </c>
      <c r="AQ8" s="313"/>
      <c r="AR8" s="1488">
        <v>1</v>
      </c>
      <c r="AS8" s="1494" t="s">
        <v>22</v>
      </c>
      <c r="AT8" s="753"/>
      <c r="AU8" s="1259"/>
      <c r="AV8" s="753"/>
      <c r="AW8" s="1259"/>
      <c r="AX8" s="1736"/>
      <c r="AY8" s="1471" t="s">
        <v>66</v>
      </c>
      <c r="AZ8" s="1736"/>
      <c r="BA8" s="1471" t="s">
        <v>66</v>
      </c>
      <c r="BB8" s="1350"/>
      <c r="BC8" s="2255" t="s">
        <v>501</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502</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503</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504</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505</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468</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415</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416</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customHeight="1" ht="14.25" hidden="1">
      <c r="BD21" s="498"/>
      <c r="BE21" s="498"/>
      <c r="BF21" s="498"/>
      <c r="BG21" s="498"/>
      <c r="BH21" s="498"/>
      <c r="BI21" s="1157">
        <v>0</v>
      </c>
    </row>
    <row customHeight="1" ht="14.25" hidden="1">
      <c r="O22" s="1369" t="s">
        <v>417</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418</v>
      </c>
      <c r="P24" s="1510"/>
      <c r="Q24" s="1512"/>
      <c r="R24" s="1512"/>
      <c r="AA24" s="1509" t="s">
        <v>420</v>
      </c>
      <c r="AC24" s="1509" t="s">
        <v>421</v>
      </c>
      <c r="AD24" s="1509" t="s">
        <v>469</v>
      </c>
      <c r="AH24" s="1509" t="s">
        <v>469</v>
      </c>
      <c r="AK24" s="1509" t="s">
        <v>506</v>
      </c>
      <c r="AL24" s="1509" t="s">
        <v>469</v>
      </c>
      <c r="AP24" s="1509" t="s">
        <v>469</v>
      </c>
      <c r="AY24" s="1509" t="s">
        <v>420</v>
      </c>
      <c r="BA24" s="1509" t="s">
        <v>421</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423</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424</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423</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424</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427</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427</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300</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301</v>
      </c>
      <c r="BI40" s="1157">
        <v>14</v>
      </c>
    </row>
    <row customHeight="1" ht="14.699999999999998">
      <c r="Q41" s="293"/>
      <c r="R41" s="378"/>
      <c r="S41" s="2275" t="s">
        <v>88</v>
      </c>
      <c r="T41" s="2211" t="s">
        <v>507</v>
      </c>
      <c r="U41" s="303"/>
      <c r="V41" s="2276" t="s">
        <v>429</v>
      </c>
      <c r="W41" s="2277"/>
      <c r="X41" s="2277"/>
      <c r="Y41" s="2277"/>
      <c r="Z41" s="2277"/>
      <c r="AA41" s="2277"/>
      <c r="AB41" s="2278"/>
      <c r="AC41" s="2279" t="s">
        <v>430</v>
      </c>
      <c r="AD41" s="2330" t="s">
        <v>508</v>
      </c>
      <c r="AE41" s="2293"/>
      <c r="AF41" s="2293"/>
      <c r="AG41" s="2331"/>
      <c r="AH41" s="2330" t="s">
        <v>509</v>
      </c>
      <c r="AI41" s="2293"/>
      <c r="AJ41" s="2293"/>
      <c r="AK41" s="2331"/>
      <c r="AL41" s="2330" t="s">
        <v>510</v>
      </c>
      <c r="AM41" s="2293"/>
      <c r="AN41" s="2293"/>
      <c r="AO41" s="2331"/>
      <c r="AP41" s="2330" t="s">
        <v>511</v>
      </c>
      <c r="AQ41" s="2293"/>
      <c r="AR41" s="2293"/>
      <c r="AS41" s="2331"/>
      <c r="AT41" s="2276" t="s">
        <v>429</v>
      </c>
      <c r="AU41" s="2277"/>
      <c r="AV41" s="2277"/>
      <c r="AW41" s="2277"/>
      <c r="AX41" s="2277"/>
      <c r="AY41" s="2277"/>
      <c r="AZ41" s="2278"/>
      <c r="BA41" s="2279" t="s">
        <v>430</v>
      </c>
      <c r="BB41" s="2282" t="s">
        <v>432</v>
      </c>
      <c r="BC41" s="2129"/>
      <c r="BI41" s="1157">
        <v>14</v>
      </c>
    </row>
    <row customHeight="1" ht="35.699999999999996">
      <c r="Q42" s="293"/>
      <c r="R42" s="378"/>
      <c r="S42" s="2275"/>
      <c r="T42" s="2211"/>
      <c r="U42" s="1033"/>
      <c r="V42" s="2194" t="s">
        <v>512</v>
      </c>
      <c r="W42" s="2195"/>
      <c r="X42" s="2194" t="s">
        <v>513</v>
      </c>
      <c r="Y42" s="2195"/>
      <c r="Z42" s="2296" t="s">
        <v>514</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512</v>
      </c>
      <c r="AU42" s="2195"/>
      <c r="AV42" s="2194" t="s">
        <v>513</v>
      </c>
      <c r="AW42" s="2195"/>
      <c r="AX42" s="2296" t="s">
        <v>514</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137</v>
      </c>
      <c r="C44" s="1372" t="s">
        <v>138</v>
      </c>
      <c r="D44" s="1372" t="s">
        <v>139</v>
      </c>
      <c r="E44" s="1366" t="s">
        <v>437</v>
      </c>
      <c r="F44" s="1366" t="s">
        <v>438</v>
      </c>
      <c r="G44" s="1366" t="s">
        <v>439</v>
      </c>
      <c r="H44" s="1366" t="s">
        <v>440</v>
      </c>
      <c r="I44" s="1366" t="s">
        <v>441</v>
      </c>
      <c r="J44" s="1366" t="s">
        <v>442</v>
      </c>
      <c r="K44" s="1366" t="s">
        <v>443</v>
      </c>
      <c r="L44" s="1366" t="s">
        <v>418</v>
      </c>
      <c r="Q44" s="293"/>
      <c r="R44" s="378"/>
      <c r="S44" s="2275"/>
      <c r="T44" s="2211"/>
      <c r="U44" s="304"/>
      <c r="V44" s="1481" t="s">
        <v>478</v>
      </c>
      <c r="W44" s="1481" t="s">
        <v>479</v>
      </c>
      <c r="X44" s="1481" t="s">
        <v>478</v>
      </c>
      <c r="Y44" s="1481" t="s">
        <v>479</v>
      </c>
      <c r="Z44" s="1491" t="s">
        <v>446</v>
      </c>
      <c r="AA44" s="2272" t="s">
        <v>447</v>
      </c>
      <c r="AB44" s="2273"/>
      <c r="AC44" s="2281"/>
      <c r="AD44" s="2335"/>
      <c r="AE44" s="2336"/>
      <c r="AF44" s="2336"/>
      <c r="AG44" s="2337"/>
      <c r="AH44" s="2335"/>
      <c r="AI44" s="2336"/>
      <c r="AJ44" s="2336"/>
      <c r="AK44" s="2337"/>
      <c r="AL44" s="2335"/>
      <c r="AM44" s="2336"/>
      <c r="AN44" s="2336"/>
      <c r="AO44" s="2337"/>
      <c r="AP44" s="2335"/>
      <c r="AQ44" s="2336"/>
      <c r="AR44" s="2336"/>
      <c r="AS44" s="2337"/>
      <c r="AT44" s="1481" t="s">
        <v>478</v>
      </c>
      <c r="AU44" s="1481" t="s">
        <v>479</v>
      </c>
      <c r="AV44" s="1481" t="s">
        <v>478</v>
      </c>
      <c r="AW44" s="1481" t="s">
        <v>479</v>
      </c>
      <c r="AX44" s="1491" t="s">
        <v>446</v>
      </c>
      <c r="AY44" s="2272" t="s">
        <v>447</v>
      </c>
      <c r="AZ44" s="2273"/>
      <c r="BA44" s="2281"/>
      <c r="BB44" s="2284"/>
      <c r="BC44" s="2129"/>
      <c r="BI44" s="1157">
        <v>14</v>
      </c>
    </row>
    <row s="1643" customFormat="1" customHeight="1" ht="0">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261</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125</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261</v>
      </c>
      <c r="B47" s="1365" t="s">
        <v>262</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397</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398</v>
      </c>
      <c r="BE47" s="502"/>
      <c r="BF47" s="502" t="str">
        <f>IF(T47="","",T47)</f>
        <v>Территория действия тарифа</v>
      </c>
      <c r="BG47" s="502"/>
      <c r="BH47" s="502"/>
      <c r="BI47" s="1157">
        <v>21</v>
      </c>
    </row>
    <row customHeight="1" ht="35.699999999999996">
      <c r="A48" s="1365" t="s">
        <v>261</v>
      </c>
      <c r="B48" s="1365" t="s">
        <v>262</v>
      </c>
      <c r="C48" s="1365" t="s">
        <v>263</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530</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531</v>
      </c>
      <c r="BE48" s="502"/>
      <c r="BF48" s="502" t="str">
        <f>IF(T48="","",T48)</f>
        <v>Наименование централизованной системы горячего водоснабжения</v>
      </c>
      <c r="BG48" s="502"/>
      <c r="BH48" s="502"/>
      <c r="BI48" s="1157">
        <v>34</v>
      </c>
    </row>
    <row s="1644" customFormat="1" customHeight="1" ht="0">
      <c r="A49" s="1345" t="s">
        <v>261</v>
      </c>
      <c r="B49" s="1345" t="s">
        <v>262</v>
      </c>
      <c r="C49" s="1345" t="s">
        <v>263</v>
      </c>
      <c r="D49" s="1345" t="s">
        <v>544</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402</v>
      </c>
      <c r="BE49" s="502"/>
      <c r="BF49" s="502" t="str">
        <f>IF(T49="","",T49)</f>
        <v/>
      </c>
      <c r="BG49" s="502"/>
      <c r="BH49" s="502"/>
      <c r="BI49" s="513">
        <v>0</v>
      </c>
    </row>
    <row s="1644" customFormat="1" customHeight="1" ht="0">
      <c r="A50" s="1345" t="s">
        <v>261</v>
      </c>
      <c r="B50" s="1345" t="s">
        <v>262</v>
      </c>
      <c r="C50" s="1345" t="s">
        <v>263</v>
      </c>
      <c r="D50" s="1345" t="s">
        <v>544</v>
      </c>
      <c r="E50" s="2261"/>
      <c r="F50" s="2261"/>
      <c r="G50" s="2261"/>
      <c r="H50" s="2261"/>
      <c r="I50" s="2258" t="str">
        <f>S49&amp;".1"</f>
        <v>.1</v>
      </c>
      <c r="J50" s="1345"/>
      <c r="K50" s="1345"/>
      <c r="L50" s="1348" t="s">
        <v>403</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261</v>
      </c>
      <c r="B51" s="1345" t="s">
        <v>262</v>
      </c>
      <c r="C51" s="1345" t="s">
        <v>263</v>
      </c>
      <c r="D51" s="1345" t="s">
        <v>544</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261</v>
      </c>
      <c r="B52" s="1365" t="s">
        <v>262</v>
      </c>
      <c r="C52" s="1365" t="s">
        <v>263</v>
      </c>
      <c r="D52" s="1365" t="s">
        <v>544</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88">
        <v>1</v>
      </c>
      <c r="AS52" s="1494" t="s">
        <v>22</v>
      </c>
      <c r="AT52" s="753"/>
      <c r="AU52" s="1259"/>
      <c r="AV52" s="753"/>
      <c r="AW52" s="1259"/>
      <c r="AX52" s="1736"/>
      <c r="AY52" s="1471" t="s">
        <v>66</v>
      </c>
      <c r="AZ52" s="1736"/>
      <c r="BA52" s="1471" t="s">
        <v>66</v>
      </c>
      <c r="BB52" s="1350"/>
      <c r="BC52" s="2255" t="s">
        <v>501</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502</v>
      </c>
      <c r="AT53" s="1395"/>
      <c r="AU53" s="1498"/>
      <c r="AV53" s="1395"/>
      <c r="AW53" s="1498"/>
      <c r="AX53" s="1395"/>
      <c r="AY53" s="1395"/>
      <c r="AZ53" s="1395"/>
      <c r="BA53" s="1395"/>
      <c r="BB53" s="1399"/>
      <c r="BC53" s="2256"/>
      <c r="BE53" s="502"/>
      <c r="BF53" s="502"/>
      <c r="BG53" s="502"/>
      <c r="BH53" s="502"/>
      <c r="BI53" s="1157">
        <v>11</v>
      </c>
    </row>
    <row customHeight="1" ht="11.549999999999999">
      <c r="A54" s="1365" t="s">
        <v>261</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503</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261</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504</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261</v>
      </c>
      <c r="B56" s="1365" t="s">
        <v>262</v>
      </c>
      <c r="C56" s="1365" t="s">
        <v>263</v>
      </c>
      <c r="D56" s="1365" t="s">
        <v>544</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505</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261</v>
      </c>
      <c r="B57" s="1365" t="s">
        <v>262</v>
      </c>
      <c r="C57" s="1365" t="s">
        <v>263</v>
      </c>
      <c r="D57" s="1365" t="s">
        <v>544</v>
      </c>
      <c r="E57" s="2261"/>
      <c r="F57" s="2261"/>
      <c r="G57" s="2261"/>
      <c r="H57" s="2261"/>
      <c r="I57" s="2288"/>
      <c r="J57" s="2258"/>
      <c r="K57" s="1365"/>
      <c r="L57" s="1366"/>
      <c r="P57" s="2259"/>
      <c r="Q57" s="2259"/>
      <c r="R57" s="358"/>
      <c r="S57" s="1280"/>
      <c r="T57" s="289" t="s">
        <v>468</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261</v>
      </c>
      <c r="B58" s="1345" t="s">
        <v>262</v>
      </c>
      <c r="C58" s="1345" t="s">
        <v>263</v>
      </c>
      <c r="D58" s="1345" t="s">
        <v>544</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261</v>
      </c>
      <c r="B59" s="1345" t="s">
        <v>262</v>
      </c>
      <c r="C59" s="1345" t="s">
        <v>263</v>
      </c>
      <c r="D59" s="1345" t="s">
        <v>544</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261</v>
      </c>
      <c r="B60" s="1345" t="s">
        <v>262</v>
      </c>
      <c r="C60" s="1345" t="s">
        <v>263</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261</v>
      </c>
      <c r="B61" s="1345" t="s">
        <v>262</v>
      </c>
      <c r="C61" s="1316"/>
      <c r="D61" s="1316"/>
      <c r="E61" s="2261"/>
      <c r="F61" s="2260"/>
      <c r="G61" s="1316"/>
      <c r="H61" s="1316"/>
      <c r="I61" s="1316"/>
      <c r="J61" s="1316"/>
      <c r="K61" s="1316"/>
      <c r="L61" s="1496"/>
      <c r="M61" s="1323"/>
      <c r="N61" s="1323"/>
      <c r="P61" s="1318"/>
      <c r="Q61" s="1319"/>
      <c r="R61" s="1318"/>
      <c r="S61" s="1324"/>
      <c r="T61" s="1327" t="s">
        <v>415</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261</v>
      </c>
      <c r="B62" s="1345"/>
      <c r="C62" s="1345"/>
      <c r="D62" s="1345"/>
      <c r="E62" s="2260"/>
      <c r="F62" s="1345"/>
      <c r="G62" s="1345"/>
      <c r="H62" s="1345"/>
      <c r="I62" s="1345"/>
      <c r="J62" s="1345"/>
      <c r="K62" s="1345"/>
      <c r="L62" s="1348"/>
      <c r="M62" s="1323"/>
      <c r="N62" s="1323"/>
      <c r="O62" s="520"/>
      <c r="P62" s="382"/>
      <c r="Q62" s="1346"/>
      <c r="R62" s="382"/>
      <c r="S62" s="1324"/>
      <c r="T62" s="1327" t="s">
        <v>416</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448</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7C9994-610B-9C18-D488-2B4B06E4ED6F}"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710937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customHeight="1" ht="22.5" hidden="1">
      <c r="AF1" s="1633" t="s">
        <v>14</v>
      </c>
    </row>
    <row customHeight="1" ht="23.25" hidden="1">
      <c r="B2" s="2101"/>
      <c r="C2" s="1169" t="s">
        <v>545</v>
      </c>
      <c r="D2" s="1640"/>
      <c r="E2" s="548">
        <f>B2</f>
        <v>0</v>
      </c>
      <c r="F2" s="549"/>
      <c r="G2" s="1648" t="s">
        <v>546</v>
      </c>
      <c r="H2" s="1648" t="s">
        <v>546</v>
      </c>
      <c r="I2" s="1648" t="s">
        <v>546</v>
      </c>
      <c r="J2" s="291" t="s">
        <v>547</v>
      </c>
      <c r="K2" s="545"/>
      <c r="AF2" s="1633">
        <v>0</v>
      </c>
    </row>
    <row s="1644" customFormat="1" customHeight="1" ht="0.75" hidden="1">
      <c r="B3" s="2101"/>
      <c r="C3" s="1169"/>
      <c r="D3" s="550"/>
      <c r="E3" s="551"/>
      <c r="F3" s="552" t="s">
        <v>548</v>
      </c>
      <c r="G3" s="553"/>
      <c r="H3" s="553">
        <f>H4*H5+H7</f>
        <v>0</v>
      </c>
      <c r="I3" s="553">
        <f>I4*I5+I6</f>
        <v>0</v>
      </c>
      <c r="J3" s="554"/>
      <c r="AF3" s="1638">
        <v>0</v>
      </c>
    </row>
    <row customHeight="1" ht="23.25" hidden="1">
      <c r="B4" s="2101"/>
      <c r="C4" s="1169"/>
      <c r="D4" s="1640"/>
      <c r="E4" s="548" t="str">
        <f>B2&amp;".1"</f>
        <v>.1</v>
      </c>
      <c r="F4" s="555" t="s">
        <v>549</v>
      </c>
      <c r="G4" s="556"/>
      <c r="H4" s="543"/>
      <c r="I4" s="543"/>
      <c r="J4" s="291" t="s">
        <v>550</v>
      </c>
      <c r="K4" s="545"/>
      <c r="AF4" s="1633">
        <v>0</v>
      </c>
    </row>
    <row customHeight="1" ht="18.75" hidden="1">
      <c r="B5" s="2101"/>
      <c r="C5" s="1169"/>
      <c r="D5" s="1640"/>
      <c r="E5" s="548" t="str">
        <f>B2&amp;".2"</f>
        <v>.2</v>
      </c>
      <c r="F5" s="555" t="s">
        <v>551</v>
      </c>
      <c r="G5" s="1648" t="s">
        <v>552</v>
      </c>
      <c r="H5" s="543"/>
      <c r="I5" s="543"/>
      <c r="J5" s="291"/>
      <c r="K5" s="545"/>
      <c r="AF5" s="1633">
        <v>0</v>
      </c>
    </row>
    <row customHeight="1" ht="18.75" hidden="1">
      <c r="B6" s="2101"/>
      <c r="C6" s="1169"/>
      <c r="D6" s="1640"/>
      <c r="E6" s="548" t="str">
        <f>B2&amp;".3"</f>
        <v>.3</v>
      </c>
      <c r="F6" s="555" t="s">
        <v>553</v>
      </c>
      <c r="G6" s="1648" t="s">
        <v>552</v>
      </c>
      <c r="H6" s="543"/>
      <c r="I6" s="543"/>
      <c r="J6" s="291"/>
      <c r="K6" s="545"/>
      <c r="AF6" s="1633">
        <v>0</v>
      </c>
    </row>
    <row customHeight="1" ht="18.75" hidden="1">
      <c r="B7" s="2101"/>
      <c r="C7" s="1169"/>
      <c r="D7" s="1640"/>
      <c r="E7" s="548" t="str">
        <f>B2&amp;".4"</f>
        <v>.4</v>
      </c>
      <c r="F7" s="555" t="s">
        <v>554</v>
      </c>
      <c r="G7" s="1648" t="s">
        <v>546</v>
      </c>
      <c r="H7" s="557"/>
      <c r="I7" s="557"/>
      <c r="J7" s="291"/>
      <c r="K7" s="545"/>
      <c r="AF7" s="1633">
        <v>0</v>
      </c>
    </row>
    <row s="1368" customFormat="1" customHeight="1" ht="11.25" hidden="1">
      <c r="A8" s="989"/>
      <c r="C8" s="1638"/>
      <c r="D8" s="539"/>
      <c r="H8" s="1162">
        <v>4</v>
      </c>
      <c r="I8" s="1162">
        <v>4</v>
      </c>
      <c r="L8" s="1638"/>
      <c r="M8" s="1638"/>
      <c r="R8" s="1638"/>
      <c r="AF8" s="1162">
        <v>0</v>
      </c>
    </row>
    <row s="1368" customFormat="1" customHeight="1" ht="22.5" hidden="1">
      <c r="A9" s="989"/>
      <c r="C9" s="1638"/>
      <c r="D9" s="540"/>
      <c r="E9" s="1650"/>
      <c r="F9" s="542"/>
      <c r="G9" s="1648" t="s">
        <v>552</v>
      </c>
      <c r="H9" s="543"/>
      <c r="I9" s="543"/>
      <c r="J9" s="544" t="s">
        <v>555</v>
      </c>
      <c r="K9" s="545"/>
      <c r="L9" s="1638"/>
      <c r="M9" s="1638"/>
      <c r="R9" s="1638"/>
      <c r="U9" s="546"/>
      <c r="AA9" s="1634"/>
      <c r="AB9" s="1634"/>
      <c r="AC9" s="1634"/>
      <c r="AD9" s="1634"/>
      <c r="AE9" s="1634"/>
      <c r="AF9" s="1162">
        <v>0</v>
      </c>
    </row>
    <row customHeight="1" ht="11.25" hidden="1">
      <c r="AF10" s="1633">
        <v>0</v>
      </c>
    </row>
    <row customHeight="1" ht="18.75" hidden="1">
      <c r="D11" s="1640"/>
      <c r="E11" s="548"/>
      <c r="F11" s="542"/>
      <c r="G11" s="1648" t="s">
        <v>556</v>
      </c>
      <c r="H11" s="543"/>
      <c r="I11" s="543"/>
      <c r="J11" s="291" t="s">
        <v>557</v>
      </c>
      <c r="K11" s="545"/>
      <c r="AF11" s="1633">
        <v>0</v>
      </c>
    </row>
    <row customHeight="1" ht="11.25" hidden="1">
      <c r="AF12" s="1633">
        <v>0</v>
      </c>
    </row>
    <row customHeight="1" ht="22.5" hidden="1">
      <c r="D13" s="1640"/>
      <c r="E13" s="548"/>
      <c r="F13" s="542"/>
      <c r="G13" s="971" t="s">
        <v>558</v>
      </c>
      <c r="H13" s="547"/>
      <c r="I13" s="547"/>
      <c r="J13" s="747" t="s">
        <v>559</v>
      </c>
      <c r="K13" s="545"/>
      <c r="AF13" s="1633">
        <v>0</v>
      </c>
    </row>
    <row customHeight="1" ht="11.25" hidden="1">
      <c r="AF14" s="1633">
        <v>0</v>
      </c>
    </row>
    <row customHeight="1" ht="22.5" hidden="1">
      <c r="D15" s="1640"/>
      <c r="E15" s="548"/>
      <c r="F15" s="542"/>
      <c r="G15" s="1648" t="s">
        <v>560</v>
      </c>
      <c r="H15" s="547"/>
      <c r="I15" s="547"/>
      <c r="J15" s="291" t="s">
        <v>561</v>
      </c>
      <c r="K15" s="545"/>
      <c r="AF15" s="1633">
        <v>0</v>
      </c>
    </row>
    <row customHeight="1" ht="11.25" hidden="1">
      <c r="AF16" s="1633">
        <v>0</v>
      </c>
    </row>
    <row customHeight="1" ht="22.5" hidden="1">
      <c r="D17" s="1640"/>
      <c r="E17" s="548"/>
      <c r="F17" s="542"/>
      <c r="G17" s="1648" t="s">
        <v>562</v>
      </c>
      <c r="H17" s="547"/>
      <c r="I17" s="547"/>
      <c r="J17" s="291" t="s">
        <v>563</v>
      </c>
      <c r="K17" s="545"/>
      <c r="AF17" s="1633">
        <v>0</v>
      </c>
    </row>
    <row customHeight="1" ht="11.25" hidden="1">
      <c r="AF18" s="1633">
        <v>0</v>
      </c>
    </row>
    <row s="1634" customFormat="1" customHeight="1" ht="11.25" hidden="1">
      <c r="A19" s="989"/>
      <c r="B19" s="1162"/>
      <c r="C19" s="1638"/>
      <c r="D19" s="364"/>
      <c r="J19" s="1634">
        <v>4</v>
      </c>
      <c r="K19" s="1162"/>
      <c r="L19" s="1638"/>
      <c r="M19" s="1638"/>
      <c r="N19" s="1162"/>
      <c r="O19" s="1162"/>
      <c r="P19" s="1162"/>
      <c r="Q19" s="1162"/>
      <c r="R19" s="1638"/>
      <c r="S19" s="1162"/>
      <c r="T19" s="1162"/>
      <c r="U19" s="546"/>
      <c r="V19" s="1162"/>
      <c r="W19" s="1162"/>
      <c r="X19" s="1162"/>
      <c r="Y19" s="1162"/>
      <c r="Z19" s="1162"/>
      <c r="AF19" s="1634">
        <v>0</v>
      </c>
    </row>
    <row customHeight="1" ht="11.549999999999999">
      <c r="AF20" s="1633">
        <v>11</v>
      </c>
    </row>
    <row customHeight="1" ht="25.2">
      <c r="E21" s="225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0"/>
      <c r="G21" s="2250"/>
      <c r="H21" s="2250"/>
      <c r="I21" s="2250"/>
      <c r="J21" s="558"/>
      <c r="AF21" s="1633">
        <v>24</v>
      </c>
    </row>
    <row customHeight="1" ht="25.2">
      <c r="E22" s="2251" t="str">
        <f>IF(org=0,"Не определено",org)</f>
        <v>ПАО "ТГК-2"</v>
      </c>
      <c r="F22" s="2251"/>
      <c r="G22" s="2251"/>
      <c r="H22" s="2251"/>
      <c r="I22" s="2251"/>
      <c r="AF22" s="1633">
        <v>24</v>
      </c>
    </row>
    <row customHeight="1" ht="11.549999999999999">
      <c r="E23" s="1137"/>
      <c r="F23" s="1137"/>
      <c r="G23" s="1137"/>
      <c r="H23" s="1137"/>
      <c r="I23" s="1137"/>
      <c r="AF23" s="1633">
        <v>11</v>
      </c>
    </row>
    <row s="1644" customFormat="1" customHeight="1" ht="1.05">
      <c r="A24" s="1169"/>
      <c r="D24" s="1644"/>
      <c r="H24" s="891"/>
      <c r="I24" s="891" t="s">
        <v>118</v>
      </c>
      <c r="AF24" s="1638">
        <v>1</v>
      </c>
    </row>
    <row customHeight="1" ht="11.549999999999999">
      <c r="E25" s="713"/>
      <c r="F25" s="2369" t="s">
        <v>105</v>
      </c>
      <c r="G25" s="2370"/>
      <c r="H25" s="1654" t="str">
        <f>IF(H24="","",INDEX(DIFFERENTIATION_UNMERGE_VD,MATCH(H24,DIFFERENTIATION_ID_DIFF,0)))</f>
        <v/>
      </c>
      <c r="I25" s="1654" t="str">
        <f>IF(I24="","",INDEX(DIFFERENTIATION_UNMERGE_VD,MATCH(I24,DIFFERENTIATION_ID_DIFF,0)))</f>
        <v>Подключение (технологическое присоединение) к системе теплоснабжения</v>
      </c>
      <c r="J25" s="2129"/>
      <c r="AF25" s="1633">
        <v>11</v>
      </c>
    </row>
    <row customHeight="1" ht="11.549999999999999">
      <c r="E26" s="713"/>
      <c r="F26" s="2369" t="s">
        <v>564</v>
      </c>
      <c r="G26" s="2370"/>
      <c r="H26" s="1654" t="str">
        <f>IF(H24="","",INDEX(DIFFERENTIATION_UNMERGE_AREA,MATCH(H24,DIFFERENTIATION_ID_DIFF,0)))</f>
        <v/>
      </c>
      <c r="I26" s="1654" t="str">
        <f>IF(I24="","",INDEX(DIFFERENTIATION_UNMERGE_AREA,MATCH(I24,DIFFERENTIATION_ID_DIFF,0)))</f>
        <v>Территория 1</v>
      </c>
      <c r="J26" s="2129"/>
      <c r="AF26" s="1633">
        <v>11</v>
      </c>
    </row>
    <row customHeight="1" ht="11.549999999999999">
      <c r="E27" s="713"/>
      <c r="F27" s="2369" t="s">
        <v>565</v>
      </c>
      <c r="G27" s="2370"/>
      <c r="H27" s="1654" t="str">
        <f>IF(H24="","",INDEX(DIFFERENTIATION_UNMERGE_SYSTEM,MATCH(H24,DIFFERENTIATION_ID_DIFF,0)))</f>
        <v/>
      </c>
      <c r="I27" s="1654" t="str">
        <f>IF(I24="","",INDEX(DIFFERENTIATION_UNMERGE_SYSTEM,MATCH(I24,DIFFERENTIATION_ID_DIFF,0)))</f>
        <v>Вологодская ТЭЦ</v>
      </c>
      <c r="J27" s="2129"/>
      <c r="AF27" s="1633">
        <v>11</v>
      </c>
    </row>
    <row customHeight="1" ht="11.549999999999999">
      <c r="E28" s="2371" t="s">
        <v>300</v>
      </c>
      <c r="F28" s="2372"/>
      <c r="G28" s="2372"/>
      <c r="H28" s="1647"/>
      <c r="I28" s="1647"/>
      <c r="J28" s="2129"/>
      <c r="AF28" s="1633">
        <v>11</v>
      </c>
    </row>
    <row customHeight="1" ht="24">
      <c r="E29" s="1648" t="s">
        <v>88</v>
      </c>
      <c r="F29" s="1655" t="s">
        <v>302</v>
      </c>
      <c r="G29" s="1655" t="s">
        <v>566</v>
      </c>
      <c r="H29" s="1655" t="s">
        <v>303</v>
      </c>
      <c r="I29" s="1655" t="s">
        <v>303</v>
      </c>
      <c r="J29" s="2129"/>
      <c r="AF29" s="1633">
        <v>23</v>
      </c>
    </row>
    <row customHeight="1" ht="19.95">
      <c r="D30" s="1640"/>
      <c r="E30" s="548">
        <f>FHD_NUM_P_1</f>
        <v>1</v>
      </c>
      <c r="F30" s="1882" t="str">
        <f>FHD_P_1</f>
        <v>Выручка от регулируемого вида деятельности с распределением по видам деятельности</v>
      </c>
      <c r="G30" s="1880" t="s">
        <v>552</v>
      </c>
      <c r="H30" s="559"/>
      <c r="I30" s="559"/>
      <c r="J30" s="291" t="str">
        <f>FHD_NOTE_P_1</f>
        <v>Указывается выручка от регулируемого вида деятельности с распределением по видам деятельности.</v>
      </c>
      <c r="K30" s="545"/>
      <c r="AF30" s="1633">
        <v>19</v>
      </c>
    </row>
    <row customHeight="1" ht="11.549999999999999">
      <c r="D31" s="1640"/>
      <c r="E31" s="548">
        <f>FHD_NUM_P_2</f>
        <v>2</v>
      </c>
      <c r="F31" s="1882" t="str">
        <f>FHD_P_2</f>
        <v>Себестоимость производимых товаров (оказываемых услуг) по регулируемому виду деятельности, включая:</v>
      </c>
      <c r="G31" s="1880" t="s">
        <v>552</v>
      </c>
      <c r="H31" s="560">
        <f>SUMIF($K33:$K71,$K31,H33:H71)</f>
        <v>0</v>
      </c>
      <c r="I31" s="560">
        <f>SUMIF($K33:$K71,$K31,I33:I71)</f>
        <v>0</v>
      </c>
      <c r="J31" s="291" t="str">
        <f>FHD_NOTE_P_2</f>
        <v>Указывается суммарная себестоимость производимых товаров.</v>
      </c>
      <c r="K31" s="1638" t="s">
        <v>567</v>
      </c>
      <c r="AF31" s="1633">
        <v>11</v>
      </c>
    </row>
    <row customHeight="1" ht="11.549999999999999">
      <c r="D32" s="1640"/>
      <c r="E32" s="548" t="str">
        <f>FHD_NUM_P_3</f>
        <v>2.1</v>
      </c>
      <c r="F32" s="1526" t="str">
        <f>FHD_P_3</f>
        <v>Расходы на приобретаемую тепловую энергию (мощность), теплоноситель</v>
      </c>
      <c r="G32" s="1880" t="s">
        <v>552</v>
      </c>
      <c r="H32" s="559"/>
      <c r="I32" s="559"/>
      <c r="J32" s="291" t="str">
        <f>FHD_NOTE_P_3</f>
        <v/>
      </c>
      <c r="K32" s="1638" t="str">
        <f>IF((LEN(E32)-LEN(SUBSTITUTE(E32,".","")))/LEN(".")=1,"p","")</f>
        <v>p</v>
      </c>
      <c r="AF32" s="1633">
        <v>11</v>
      </c>
    </row>
    <row customHeight="1" ht="11.25">
      <c r="A33" s="2373" t="s">
        <v>568</v>
      </c>
      <c r="D33" s="1640"/>
      <c r="E33" s="548" t="str">
        <f>FHD_NUM_P_4</f>
        <v>2.2</v>
      </c>
      <c r="F33" s="1526"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0" t="s">
        <v>552</v>
      </c>
      <c r="H33" s="560">
        <f>SUMIF($F34:$F40,$F3,H34:H40)</f>
        <v>0</v>
      </c>
      <c r="I33" s="560">
        <f>SUMIF($F34:$F40,$F3,I34:I40)</f>
        <v>0</v>
      </c>
      <c r="J33" s="291" t="str">
        <f>FHD_NOTE_P_4</f>
        <v>Указываются суммарные расходы на приобретение топлива всех видов.</v>
      </c>
      <c r="K33" s="1638" t="str">
        <f>IF((LEN(E33)-LEN(SUBSTITUTE(E33,".","")))/LEN(".")=1,"p","")</f>
        <v>p</v>
      </c>
      <c r="AF33" s="1633">
        <v>0</v>
      </c>
    </row>
    <row s="1643" customFormat="1" customHeight="1" ht="0.75">
      <c r="A34" s="2373"/>
      <c r="B34" s="2374" t="str">
        <f>E33&amp;".0"</f>
        <v>2.2.0</v>
      </c>
      <c r="C34" s="1169"/>
      <c r="D34" s="562"/>
      <c r="E34" s="563"/>
      <c r="F34" s="564"/>
      <c r="G34" s="565"/>
      <c r="H34" s="499"/>
      <c r="I34" s="499"/>
      <c r="J34" s="566"/>
      <c r="K34" s="1638" t="str">
        <f>IF((LEN(E34)-LEN(SUBSTITUTE(E34,".","")))/LEN(".")=1,"p","")</f>
        <v/>
      </c>
      <c r="L34" s="1638"/>
      <c r="M34" s="1638"/>
      <c r="N34" s="1638"/>
      <c r="O34" s="1638"/>
      <c r="P34" s="1638"/>
      <c r="Q34" s="1638"/>
      <c r="R34" s="1638"/>
      <c r="S34" s="1638"/>
      <c r="T34" s="1638"/>
      <c r="U34" s="567"/>
      <c r="V34" s="1638"/>
      <c r="W34" s="1638"/>
      <c r="X34" s="1638"/>
      <c r="Y34" s="1638"/>
      <c r="Z34" s="1638"/>
      <c r="AA34" s="568"/>
      <c r="AB34" s="568"/>
      <c r="AC34" s="568"/>
      <c r="AD34" s="568"/>
      <c r="AE34" s="568"/>
      <c r="AF34" s="1643">
        <v>0</v>
      </c>
    </row>
    <row s="1643" customFormat="1" customHeight="1" ht="0.75">
      <c r="A35" s="2373"/>
      <c r="B35" s="2374"/>
      <c r="C35" s="1169"/>
      <c r="D35" s="562"/>
      <c r="E35" s="569"/>
      <c r="F35" s="570"/>
      <c r="G35" s="565"/>
      <c r="H35" s="571"/>
      <c r="I35" s="571"/>
      <c r="J35" s="566"/>
      <c r="K35" s="1638" t="str">
        <f>IF((LEN(E35)-LEN(SUBSTITUTE(E35,".","")))/LEN(".")=1,"p","")</f>
        <v/>
      </c>
      <c r="L35" s="1638"/>
      <c r="M35" s="1638"/>
      <c r="N35" s="1638"/>
      <c r="O35" s="1638"/>
      <c r="P35" s="1638"/>
      <c r="Q35" s="1638"/>
      <c r="R35" s="1638"/>
      <c r="S35" s="1638"/>
      <c r="T35" s="1638"/>
      <c r="U35" s="567"/>
      <c r="V35" s="1638"/>
      <c r="W35" s="1638"/>
      <c r="X35" s="1638"/>
      <c r="Y35" s="1638"/>
      <c r="Z35" s="1638"/>
      <c r="AA35" s="568"/>
      <c r="AB35" s="568"/>
      <c r="AC35" s="568"/>
      <c r="AD35" s="568"/>
      <c r="AE35" s="568"/>
      <c r="AF35" s="1643">
        <v>0</v>
      </c>
    </row>
    <row s="1643" customFormat="1" customHeight="1" ht="0.75">
      <c r="A36" s="2373"/>
      <c r="B36" s="2374"/>
      <c r="C36" s="1169"/>
      <c r="D36" s="562"/>
      <c r="E36" s="569"/>
      <c r="F36" s="570"/>
      <c r="G36" s="565"/>
      <c r="H36" s="571"/>
      <c r="I36" s="571"/>
      <c r="J36" s="566"/>
      <c r="K36" s="1638" t="str">
        <f>IF((LEN(E36)-LEN(SUBSTITUTE(E36,".","")))/LEN(".")=1,"p","")</f>
        <v/>
      </c>
      <c r="L36" s="1638"/>
      <c r="M36" s="1638"/>
      <c r="N36" s="1638"/>
      <c r="O36" s="1638"/>
      <c r="P36" s="1638"/>
      <c r="Q36" s="1638"/>
      <c r="R36" s="1638"/>
      <c r="S36" s="1638"/>
      <c r="T36" s="1638"/>
      <c r="U36" s="567"/>
      <c r="V36" s="1638"/>
      <c r="W36" s="1638"/>
      <c r="X36" s="1638"/>
      <c r="Y36" s="1638"/>
      <c r="Z36" s="1638"/>
      <c r="AA36" s="568"/>
      <c r="AB36" s="568"/>
      <c r="AC36" s="568"/>
      <c r="AD36" s="568"/>
      <c r="AE36" s="568"/>
      <c r="AF36" s="1643">
        <v>0</v>
      </c>
    </row>
    <row s="1643" customFormat="1" customHeight="1" ht="0.75">
      <c r="A37" s="2373"/>
      <c r="B37" s="2374"/>
      <c r="C37" s="1169"/>
      <c r="D37" s="562"/>
      <c r="E37" s="569"/>
      <c r="F37" s="570"/>
      <c r="G37" s="565"/>
      <c r="H37" s="571"/>
      <c r="I37" s="571"/>
      <c r="J37" s="566"/>
      <c r="K37" s="1638" t="str">
        <f>IF((LEN(E37)-LEN(SUBSTITUTE(E37,".","")))/LEN(".")=1,"p","")</f>
        <v/>
      </c>
      <c r="L37" s="1638"/>
      <c r="M37" s="1638"/>
      <c r="N37" s="1638"/>
      <c r="O37" s="1638"/>
      <c r="P37" s="1638"/>
      <c r="Q37" s="1638"/>
      <c r="R37" s="1638"/>
      <c r="S37" s="1638"/>
      <c r="T37" s="1638"/>
      <c r="U37" s="567"/>
      <c r="V37" s="1638"/>
      <c r="W37" s="1638"/>
      <c r="X37" s="1638"/>
      <c r="Y37" s="1638"/>
      <c r="Z37" s="1638"/>
      <c r="AA37" s="568"/>
      <c r="AB37" s="568"/>
      <c r="AC37" s="568"/>
      <c r="AD37" s="568"/>
      <c r="AE37" s="568"/>
      <c r="AF37" s="1643">
        <v>0</v>
      </c>
    </row>
    <row s="1643" customFormat="1" customHeight="1" ht="0.75">
      <c r="A38" s="2373"/>
      <c r="B38" s="2374"/>
      <c r="C38" s="1169"/>
      <c r="D38" s="562"/>
      <c r="E38" s="569"/>
      <c r="F38" s="570"/>
      <c r="G38" s="565"/>
      <c r="H38" s="571"/>
      <c r="I38" s="571"/>
      <c r="J38" s="566"/>
      <c r="K38" s="1638" t="str">
        <f>IF((LEN(E38)-LEN(SUBSTITUTE(E38,".","")))/LEN(".")=1,"p","")</f>
        <v/>
      </c>
      <c r="L38" s="1638"/>
      <c r="M38" s="1638"/>
      <c r="N38" s="1638"/>
      <c r="O38" s="1638"/>
      <c r="P38" s="1638"/>
      <c r="Q38" s="1638"/>
      <c r="R38" s="1638"/>
      <c r="S38" s="1638"/>
      <c r="T38" s="1638"/>
      <c r="U38" s="567"/>
      <c r="V38" s="1638"/>
      <c r="W38" s="1638"/>
      <c r="X38" s="1638"/>
      <c r="Y38" s="1638"/>
      <c r="Z38" s="1638"/>
      <c r="AA38" s="568"/>
      <c r="AB38" s="568"/>
      <c r="AC38" s="568"/>
      <c r="AD38" s="568"/>
      <c r="AE38" s="568"/>
      <c r="AF38" s="1643">
        <v>0</v>
      </c>
    </row>
    <row s="1643" customFormat="1" customHeight="1" ht="0.75">
      <c r="A39" s="2373"/>
      <c r="B39" s="2374"/>
      <c r="C39" s="1169"/>
      <c r="D39" s="562"/>
      <c r="E39" s="569"/>
      <c r="F39" s="570"/>
      <c r="G39" s="565"/>
      <c r="H39" s="499"/>
      <c r="I39" s="499"/>
      <c r="J39" s="566"/>
      <c r="K39" s="1638" t="str">
        <f>IF((LEN(E39)-LEN(SUBSTITUTE(E39,".","")))/LEN(".")=1,"p","")</f>
        <v/>
      </c>
      <c r="L39" s="1638"/>
      <c r="M39" s="1638"/>
      <c r="N39" s="1638"/>
      <c r="O39" s="1638"/>
      <c r="P39" s="1638"/>
      <c r="Q39" s="1638"/>
      <c r="R39" s="1638"/>
      <c r="S39" s="1638"/>
      <c r="T39" s="1638"/>
      <c r="U39" s="567"/>
      <c r="V39" s="1638"/>
      <c r="W39" s="1638"/>
      <c r="X39" s="1638"/>
      <c r="Y39" s="1638"/>
      <c r="Z39" s="1638"/>
      <c r="AA39" s="568"/>
      <c r="AB39" s="568"/>
      <c r="AC39" s="568"/>
      <c r="AD39" s="568"/>
      <c r="AE39" s="568"/>
      <c r="AF39" s="1643">
        <v>0</v>
      </c>
    </row>
    <row s="1368" customFormat="1" customHeight="1" ht="15">
      <c r="A40" s="2373"/>
      <c r="C40" s="1638"/>
      <c r="D40" s="1635"/>
      <c r="E40" s="572"/>
      <c r="F40" s="573" t="s">
        <v>569</v>
      </c>
      <c r="G40" s="574"/>
      <c r="H40" s="575"/>
      <c r="I40" s="575"/>
      <c r="J40" s="303"/>
      <c r="K40" s="1638" t="str">
        <f>IF((LEN(E40)-LEN(SUBSTITUTE(E40,".","")))/LEN(".")=1,"p","")</f>
        <v/>
      </c>
      <c r="L40" s="1638"/>
      <c r="M40" s="1638"/>
      <c r="R40" s="1638"/>
      <c r="U40" s="546"/>
      <c r="AA40" s="1634"/>
      <c r="AB40" s="1634"/>
      <c r="AC40" s="1634"/>
      <c r="AD40" s="1634"/>
      <c r="AE40" s="1634"/>
      <c r="AF40" s="1162">
        <v>0</v>
      </c>
    </row>
    <row customHeight="1" ht="11.25" hidden="1">
      <c r="A41" s="2373" t="s">
        <v>570</v>
      </c>
      <c r="D41" s="1640"/>
      <c r="E41" s="548" t="str">
        <f>FHD_NUM_P_5</f>
        <v/>
      </c>
      <c r="F41" s="1526" t="str">
        <f>FHD_P_5</f>
        <v/>
      </c>
      <c r="G41" s="1880" t="s">
        <v>552</v>
      </c>
      <c r="H41" s="559"/>
      <c r="I41" s="559"/>
      <c r="J41" s="291" t="str">
        <f>FHD_NOTE_P_5</f>
        <v/>
      </c>
      <c r="K41" s="1638" t="str">
        <f>IF((LEN(E41)-LEN(SUBSTITUTE(E41,".","")))/LEN(".")=1,"p","")</f>
        <v/>
      </c>
      <c r="AF41" s="1633">
        <v>0</v>
      </c>
    </row>
    <row customHeight="1" ht="11.25" hidden="1">
      <c r="A42" s="2373"/>
      <c r="D42" s="1640"/>
      <c r="E42" s="548" t="str">
        <f>FHD_NUM_P_6</f>
        <v/>
      </c>
      <c r="F42" s="1526" t="str">
        <f>FHD_P_6</f>
        <v/>
      </c>
      <c r="G42" s="1880" t="s">
        <v>552</v>
      </c>
      <c r="H42" s="559"/>
      <c r="I42" s="559"/>
      <c r="J42" s="291" t="str">
        <f>FHD_NOTE_P_6</f>
        <v/>
      </c>
      <c r="K42" s="1638" t="str">
        <f>IF((LEN(E42)-LEN(SUBSTITUTE(E42,".","")))/LEN(".")=1,"p","")</f>
        <v/>
      </c>
      <c r="AF42" s="1633">
        <v>0</v>
      </c>
    </row>
    <row customHeight="1" ht="11.25" hidden="1">
      <c r="A43" s="2373"/>
      <c r="D43" s="1640"/>
      <c r="E43" s="548" t="str">
        <f>FHD_NUM_P_7</f>
        <v/>
      </c>
      <c r="F43" s="1526" t="str">
        <f>FHD_P_7</f>
        <v/>
      </c>
      <c r="G43" s="1880" t="s">
        <v>552</v>
      </c>
      <c r="H43" s="559"/>
      <c r="I43" s="559"/>
      <c r="J43" s="291" t="str">
        <f>FHD_NOTE_P_7</f>
        <v/>
      </c>
      <c r="K43" s="1638" t="str">
        <f>IF((LEN(E43)-LEN(SUBSTITUTE(E43,".","")))/LEN(".")=1,"p","")</f>
        <v/>
      </c>
      <c r="AF43" s="1633">
        <v>0</v>
      </c>
    </row>
    <row customHeight="1" ht="11.549999999999999">
      <c r="D44" s="1640"/>
      <c r="E44" s="548" t="str">
        <f>FHD_NUM_P_8</f>
        <v>2.3</v>
      </c>
      <c r="F44" s="1526" t="str">
        <f>FHD_P_8</f>
        <v>Расходы на приобретаемую электрическую энергию (мощность), используемую в технологическом процессе</v>
      </c>
      <c r="G44" s="1880" t="s">
        <v>552</v>
      </c>
      <c r="H44" s="559"/>
      <c r="I44" s="559"/>
      <c r="J44" s="291" t="str">
        <f>FHD_NOTE_P_8</f>
        <v/>
      </c>
      <c r="K44" s="1638" t="str">
        <f>IF((LEN(E44)-LEN(SUBSTITUTE(E44,".","")))/LEN(".")=1,"p","")</f>
        <v>p</v>
      </c>
      <c r="AF44" s="1633">
        <v>11</v>
      </c>
    </row>
    <row customHeight="1" ht="11.549999999999999">
      <c r="D45" s="1640"/>
      <c r="E45" s="548" t="str">
        <f>FHD_NUM_P_9</f>
        <v>2.3.1</v>
      </c>
      <c r="F45" s="1652" t="str">
        <f>FHD_P_9</f>
        <v>Средневзвешенная стоимость 1 кВт.ч (с учетом мощности)</v>
      </c>
      <c r="G45" s="1880" t="s">
        <v>571</v>
      </c>
      <c r="H45" s="559"/>
      <c r="I45" s="559"/>
      <c r="J45" s="291" t="str">
        <f>FHD_NOTE_P_9</f>
        <v/>
      </c>
      <c r="K45" s="1638" t="str">
        <f>IF((LEN(E45)-LEN(SUBSTITUTE(E45,".","")))/LEN(".")=1,"p","")</f>
        <v/>
      </c>
      <c r="AF45" s="1633">
        <v>11</v>
      </c>
    </row>
    <row s="1368" customFormat="1" customHeight="1" ht="11.549999999999999">
      <c r="A46" s="989"/>
      <c r="C46" s="1638"/>
      <c r="D46" s="576"/>
      <c r="E46" s="548" t="str">
        <f>FHD_NUM_P_10</f>
        <v>2.3.2</v>
      </c>
      <c r="F46" s="1652" t="str">
        <f>FHD_P_10</f>
        <v>Объём приобретения электрической энергии</v>
      </c>
      <c r="G46" s="1880" t="s">
        <v>572</v>
      </c>
      <c r="H46" s="559"/>
      <c r="I46" s="559"/>
      <c r="J46" s="291" t="str">
        <f>FHD_NOTE_P_10</f>
        <v/>
      </c>
      <c r="K46" s="1638" t="str">
        <f>IF((LEN(E46)-LEN(SUBSTITUTE(E46,".","")))/LEN(".")=1,"p","")</f>
        <v/>
      </c>
      <c r="L46" s="1638"/>
      <c r="M46" s="1638"/>
      <c r="R46" s="1638"/>
      <c r="U46" s="546"/>
      <c r="AA46" s="1634"/>
      <c r="AB46" s="1634"/>
      <c r="AC46" s="1634"/>
      <c r="AD46" s="1634"/>
      <c r="AE46" s="1634"/>
      <c r="AF46" s="1162">
        <v>11</v>
      </c>
    </row>
    <row s="1368" customFormat="1" customHeight="1" ht="11.25">
      <c r="A47" s="991" t="s">
        <v>573</v>
      </c>
      <c r="C47" s="1638"/>
      <c r="D47" s="577"/>
      <c r="E47" s="548" t="str">
        <f>FHD_NUM_P_11</f>
        <v>2.4</v>
      </c>
      <c r="F47" s="1526" t="str">
        <f>FHD_P_11</f>
        <v>Расходы на приобретение холодной воды, используемой в технологическом процессе</v>
      </c>
      <c r="G47" s="1880" t="s">
        <v>552</v>
      </c>
      <c r="H47" s="559"/>
      <c r="I47" s="559"/>
      <c r="J47" s="291" t="str">
        <f>FHD_NOTE_P_11</f>
        <v/>
      </c>
      <c r="K47" s="1638" t="str">
        <f>IF((LEN(E47)-LEN(SUBSTITUTE(E47,".","")))/LEN(".")=1,"p","")</f>
        <v>p</v>
      </c>
      <c r="L47" s="1638"/>
      <c r="M47" s="1638"/>
      <c r="R47" s="1638"/>
      <c r="U47" s="546"/>
      <c r="AA47" s="1634"/>
      <c r="AB47" s="1634"/>
      <c r="AC47" s="1634"/>
      <c r="AD47" s="1634"/>
      <c r="AE47" s="1634"/>
      <c r="AF47" s="1162">
        <v>0</v>
      </c>
    </row>
    <row s="1368" customFormat="1" customHeight="1" ht="18.75">
      <c r="A48" s="991" t="s">
        <v>574</v>
      </c>
      <c r="C48" s="1638"/>
      <c r="D48" s="1640"/>
      <c r="E48" s="548" t="str">
        <f>FHD_NUM_P_12</f>
        <v>2.5</v>
      </c>
      <c r="F48" s="1526" t="str">
        <f>FHD_P_12</f>
        <v>Расходы на  химические реагенты, используемые в технологическом процессе</v>
      </c>
      <c r="G48" s="1880" t="s">
        <v>552</v>
      </c>
      <c r="H48" s="579"/>
      <c r="I48" s="579"/>
      <c r="J48" s="291" t="str">
        <f>FHD_NOTE_P_12</f>
        <v/>
      </c>
      <c r="K48" s="1638" t="str">
        <f>IF((LEN(E48)-LEN(SUBSTITUTE(E48,".","")))/LEN(".")=1,"p","")</f>
        <v>p</v>
      </c>
      <c r="L48" s="1638"/>
      <c r="M48" s="1638"/>
      <c r="R48" s="1638"/>
      <c r="U48" s="546"/>
      <c r="AA48" s="1634"/>
      <c r="AB48" s="1634"/>
      <c r="AC48" s="1634"/>
      <c r="AD48" s="1634"/>
      <c r="AE48" s="1634"/>
      <c r="AF48" s="1162">
        <v>18</v>
      </c>
    </row>
    <row s="1367" customFormat="1" customHeight="1" ht="11.549999999999999">
      <c r="A49" s="990"/>
      <c r="C49" s="732"/>
      <c r="D49" s="675"/>
      <c r="E49" s="548" t="str">
        <f>FHD_NUM_P_13</f>
        <v>2.6</v>
      </c>
      <c r="F49" s="152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0" t="s">
        <v>552</v>
      </c>
      <c r="H49" s="559"/>
      <c r="I49" s="559"/>
      <c r="J49" s="291" t="str">
        <f>FHD_NOTE_P_13</f>
        <v/>
      </c>
      <c r="K49" s="1638" t="str">
        <f>IF((LEN(E49)-LEN(SUBSTITUTE(E49,".","")))/LEN(".")=1,"p","")</f>
        <v>p</v>
      </c>
      <c r="L49" s="732"/>
      <c r="M49" s="732"/>
      <c r="R49" s="732"/>
      <c r="U49" s="733"/>
      <c r="AA49" s="734"/>
      <c r="AB49" s="734"/>
      <c r="AC49" s="734"/>
      <c r="AD49" s="734"/>
      <c r="AE49" s="734"/>
      <c r="AF49" s="731">
        <v>11</v>
      </c>
    </row>
    <row s="1367" customFormat="1" customHeight="1" ht="11.549999999999999">
      <c r="A50" s="990"/>
      <c r="C50" s="732"/>
      <c r="D50" s="675"/>
      <c r="E50" s="548" t="str">
        <f>FHD_NUM_P_14</f>
        <v>2.6.1</v>
      </c>
      <c r="F50" s="1652" t="str">
        <f>FHD_P_14</f>
        <v>Расходы на оплату труда основного производственного персонала</v>
      </c>
      <c r="G50" s="1880" t="s">
        <v>552</v>
      </c>
      <c r="H50" s="559"/>
      <c r="I50" s="559"/>
      <c r="J50" s="291" t="str">
        <f>FHD_NOTE_P_14</f>
        <v/>
      </c>
      <c r="K50" s="1638" t="str">
        <f>IF((LEN(E50)-LEN(SUBSTITUTE(E50,".","")))/LEN(".")=1,"p","")</f>
        <v/>
      </c>
      <c r="L50" s="732"/>
      <c r="M50" s="732"/>
      <c r="R50" s="732"/>
      <c r="U50" s="733"/>
      <c r="AA50" s="734"/>
      <c r="AB50" s="734"/>
      <c r="AC50" s="734"/>
      <c r="AD50" s="734"/>
      <c r="AE50" s="734"/>
      <c r="AF50" s="731">
        <v>11</v>
      </c>
    </row>
    <row s="1367" customFormat="1" customHeight="1" ht="11.549999999999999">
      <c r="A51" s="990"/>
      <c r="C51" s="732"/>
      <c r="D51" s="675"/>
      <c r="E51" s="548" t="str">
        <f>FHD_NUM_P_15</f>
        <v>2.6.2</v>
      </c>
      <c r="F51" s="1652" t="str">
        <f>FHD_P_15</f>
        <v>Страховые взносы на обязательное социальное страхование, выплачиваемые из фонда оплаты труда основного производственного персонала</v>
      </c>
      <c r="G51" s="1880" t="s">
        <v>552</v>
      </c>
      <c r="H51" s="559"/>
      <c r="I51" s="559"/>
      <c r="J51" s="291" t="str">
        <f>FHD_NOTE_P_15</f>
        <v/>
      </c>
      <c r="K51" s="1638" t="str">
        <f>IF((LEN(E51)-LEN(SUBSTITUTE(E51,".","")))/LEN(".")=1,"p","")</f>
        <v/>
      </c>
      <c r="L51" s="732"/>
      <c r="M51" s="732"/>
      <c r="R51" s="732"/>
      <c r="U51" s="733"/>
      <c r="AA51" s="734"/>
      <c r="AB51" s="734"/>
      <c r="AC51" s="734"/>
      <c r="AD51" s="734"/>
      <c r="AE51" s="734"/>
      <c r="AF51" s="731">
        <v>11</v>
      </c>
    </row>
    <row s="1368" customFormat="1" customHeight="1" ht="11.549999999999999">
      <c r="A52" s="989"/>
      <c r="C52" s="1638"/>
      <c r="D52" s="1640"/>
      <c r="E52" s="548" t="str">
        <f>FHD_NUM_P_16</f>
        <v>2.7</v>
      </c>
      <c r="F52" s="152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0" t="s">
        <v>552</v>
      </c>
      <c r="H52" s="559"/>
      <c r="I52" s="559"/>
      <c r="J52" s="291" t="str">
        <f>FHD_NOTE_P_16</f>
        <v/>
      </c>
      <c r="K52" s="1638" t="str">
        <f>IF((LEN(E52)-LEN(SUBSTITUTE(E52,".","")))/LEN(".")=1,"p","")</f>
        <v>p</v>
      </c>
      <c r="L52" s="1638"/>
      <c r="M52" s="1644"/>
      <c r="N52" s="539"/>
      <c r="O52" s="539"/>
      <c r="R52" s="1638"/>
      <c r="U52" s="546"/>
      <c r="AA52" s="1634"/>
      <c r="AB52" s="1634"/>
      <c r="AC52" s="1634"/>
      <c r="AD52" s="1634"/>
      <c r="AE52" s="1634"/>
      <c r="AF52" s="1162">
        <v>11</v>
      </c>
    </row>
    <row s="1368" customFormat="1" customHeight="1" ht="11.549999999999999">
      <c r="A53" s="989"/>
      <c r="C53" s="1638"/>
      <c r="D53" s="1640"/>
      <c r="E53" s="548" t="str">
        <f>FHD_NUM_P_17</f>
        <v>2.7.1</v>
      </c>
      <c r="F53" s="1652" t="str">
        <f>FHD_P_17</f>
        <v>Расходы на оплату труда административно-управленческого персонала</v>
      </c>
      <c r="G53" s="1880" t="s">
        <v>552</v>
      </c>
      <c r="H53" s="559"/>
      <c r="I53" s="559"/>
      <c r="J53" s="291" t="str">
        <f>FHD_NOTE_P_17</f>
        <v/>
      </c>
      <c r="K53" s="1638" t="str">
        <f>IF((LEN(E53)-LEN(SUBSTITUTE(E53,".","")))/LEN(".")=1,"p","")</f>
        <v/>
      </c>
      <c r="L53" s="1638"/>
      <c r="M53" s="1644"/>
      <c r="N53" s="539"/>
      <c r="O53" s="539"/>
      <c r="R53" s="1638"/>
      <c r="U53" s="546"/>
      <c r="AA53" s="1634"/>
      <c r="AB53" s="1634"/>
      <c r="AC53" s="1634"/>
      <c r="AD53" s="1634"/>
      <c r="AE53" s="1634"/>
      <c r="AF53" s="1162">
        <v>11</v>
      </c>
    </row>
    <row s="1368" customFormat="1" customHeight="1" ht="11.549999999999999">
      <c r="A54" s="989"/>
      <c r="C54" s="1638"/>
      <c r="D54" s="1640"/>
      <c r="E54" s="548" t="str">
        <f>FHD_NUM_P_18</f>
        <v>2.7.2</v>
      </c>
      <c r="F54" s="1652"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0" t="s">
        <v>552</v>
      </c>
      <c r="H54" s="559"/>
      <c r="I54" s="559"/>
      <c r="J54" s="291" t="str">
        <f>FHD_NOTE_P_18</f>
        <v/>
      </c>
      <c r="K54" s="1638" t="str">
        <f>IF((LEN(E54)-LEN(SUBSTITUTE(E54,".","")))/LEN(".")=1,"p","")</f>
        <v/>
      </c>
      <c r="L54" s="1638"/>
      <c r="M54" s="1644"/>
      <c r="N54" s="539"/>
      <c r="O54" s="539"/>
      <c r="R54" s="1638"/>
      <c r="U54" s="546"/>
      <c r="AA54" s="1634"/>
      <c r="AB54" s="1634"/>
      <c r="AC54" s="1634"/>
      <c r="AD54" s="1634"/>
      <c r="AE54" s="1634"/>
      <c r="AF54" s="1162">
        <v>11</v>
      </c>
    </row>
    <row s="1368" customFormat="1" customHeight="1" ht="11.549999999999999">
      <c r="A55" s="989"/>
      <c r="C55" s="1638"/>
      <c r="D55" s="577"/>
      <c r="E55" s="548" t="str">
        <f>FHD_NUM_P_19</f>
        <v>2.8</v>
      </c>
      <c r="F55" s="1526" t="str">
        <f>FHD_P_19</f>
        <v>Расходы на амортизацию основных средств и нематериальных активов</v>
      </c>
      <c r="G55" s="1880" t="s">
        <v>552</v>
      </c>
      <c r="H55" s="559"/>
      <c r="I55" s="559"/>
      <c r="J55" s="291" t="str">
        <f>FHD_NOTE_P_19</f>
        <v/>
      </c>
      <c r="K55" s="1638" t="str">
        <f>IF((LEN(E55)-LEN(SUBSTITUTE(E55,".","")))/LEN(".")=1,"p","")</f>
        <v>p</v>
      </c>
      <c r="L55" s="1638"/>
      <c r="M55" s="1638"/>
      <c r="R55" s="1638"/>
      <c r="U55" s="546"/>
      <c r="AA55" s="1634"/>
      <c r="AB55" s="1634"/>
      <c r="AC55" s="1634"/>
      <c r="AD55" s="1634"/>
      <c r="AE55" s="1634"/>
      <c r="AF55" s="1162">
        <v>11</v>
      </c>
    </row>
    <row s="1368" customFormat="1" customHeight="1" ht="11.549999999999999">
      <c r="A56" s="989"/>
      <c r="C56" s="1638"/>
      <c r="D56" s="577"/>
      <c r="E56" s="548" t="str">
        <f>FHD_NUM_P_20</f>
        <v>2.8.1</v>
      </c>
      <c r="F56" s="1652" t="str">
        <f>FHD_P_20</f>
        <v>Расходы на амортизацию основных средств</v>
      </c>
      <c r="G56" s="1880" t="s">
        <v>552</v>
      </c>
      <c r="H56" s="559"/>
      <c r="I56" s="559"/>
      <c r="J56" s="291" t="str">
        <f>FHD_NOTE_P_20</f>
        <v/>
      </c>
      <c r="K56" s="1638" t="str">
        <f>IF((LEN(E56)-LEN(SUBSTITUTE(E56,".","")))/LEN(".")=1,"p","")</f>
        <v/>
      </c>
      <c r="L56" s="1638"/>
      <c r="M56" s="1638"/>
      <c r="R56" s="1638"/>
      <c r="U56" s="546"/>
      <c r="AA56" s="1634"/>
      <c r="AB56" s="1634"/>
      <c r="AC56" s="1634"/>
      <c r="AD56" s="1634"/>
      <c r="AE56" s="1634"/>
      <c r="AF56" s="1162">
        <v>11</v>
      </c>
    </row>
    <row s="1368" customFormat="1" customHeight="1" ht="11.549999999999999">
      <c r="A57" s="989"/>
      <c r="C57" s="1638"/>
      <c r="D57" s="577"/>
      <c r="E57" s="548" t="str">
        <f>FHD_NUM_P_21</f>
        <v>2.8.2</v>
      </c>
      <c r="F57" s="1652" t="str">
        <f>FHD_P_21</f>
        <v>Расходы на амортизацию нематериальных активов</v>
      </c>
      <c r="G57" s="1880" t="s">
        <v>552</v>
      </c>
      <c r="H57" s="559"/>
      <c r="I57" s="559"/>
      <c r="J57" s="291" t="str">
        <f>FHD_NOTE_P_21</f>
        <v/>
      </c>
      <c r="K57" s="1638" t="str">
        <f>IF((LEN(E57)-LEN(SUBSTITUTE(E57,".","")))/LEN(".")=1,"p","")</f>
        <v/>
      </c>
      <c r="L57" s="1638"/>
      <c r="M57" s="1638"/>
      <c r="R57" s="1638"/>
      <c r="U57" s="546"/>
      <c r="AA57" s="1634"/>
      <c r="AB57" s="1634"/>
      <c r="AC57" s="1634"/>
      <c r="AD57" s="1634"/>
      <c r="AE57" s="1634"/>
      <c r="AF57" s="1162">
        <v>11</v>
      </c>
    </row>
    <row s="1368" customFormat="1" customHeight="1" ht="11.549999999999999">
      <c r="A58" s="989"/>
      <c r="C58" s="1638"/>
      <c r="D58" s="1640"/>
      <c r="E58" s="548" t="str">
        <f>FHD_NUM_P_22</f>
        <v>2.9</v>
      </c>
      <c r="F58" s="1526" t="str">
        <f>FHD_P_22</f>
        <v>Расходы на аренду имущества, используемого для осуществления регулируемого вида деятельности</v>
      </c>
      <c r="G58" s="1880" t="s">
        <v>552</v>
      </c>
      <c r="H58" s="559"/>
      <c r="I58" s="559"/>
      <c r="J58" s="291" t="str">
        <f>FHD_NOTE_P_22</f>
        <v/>
      </c>
      <c r="K58" s="1638" t="str">
        <f>IF((LEN(E58)-LEN(SUBSTITUTE(E58,".","")))/LEN(".")=1,"p","")</f>
        <v>p</v>
      </c>
      <c r="L58" s="1638"/>
      <c r="M58" s="1638"/>
      <c r="R58" s="1638"/>
      <c r="U58" s="546"/>
      <c r="AA58" s="1634"/>
      <c r="AB58" s="1634"/>
      <c r="AC58" s="1634"/>
      <c r="AD58" s="1634"/>
      <c r="AE58" s="1634"/>
      <c r="AF58" s="1162">
        <v>11</v>
      </c>
    </row>
    <row s="1368" customFormat="1" customHeight="1" ht="11.549999999999999">
      <c r="A59" s="989"/>
      <c r="C59" s="1638"/>
      <c r="D59" s="577"/>
      <c r="E59" s="548" t="str">
        <f>FHD_NUM_P_23</f>
        <v>2.10</v>
      </c>
      <c r="F59" s="1526" t="str">
        <f>FHD_P_23</f>
        <v>Общепроизводственные расходы, в том числе:</v>
      </c>
      <c r="G59" s="1880" t="s">
        <v>552</v>
      </c>
      <c r="H59" s="559"/>
      <c r="I59" s="559"/>
      <c r="J59" s="291" t="str">
        <f>FHD_NOTE_P_23</f>
        <v>Указывается общая сумма общепроизводственных расходов.</v>
      </c>
      <c r="K59" s="1638" t="str">
        <f>IF((LEN(E59)-LEN(SUBSTITUTE(E59,".","")))/LEN(".")=1,"p","")</f>
        <v>p</v>
      </c>
      <c r="L59" s="1638"/>
      <c r="M59" s="1638"/>
      <c r="R59" s="1638"/>
      <c r="U59" s="546"/>
      <c r="AA59" s="1634"/>
      <c r="AB59" s="1634"/>
      <c r="AC59" s="1634"/>
      <c r="AD59" s="1634"/>
      <c r="AE59" s="1634"/>
      <c r="AF59" s="1162">
        <v>11</v>
      </c>
    </row>
    <row s="1368" customFormat="1" customHeight="1" ht="11.549999999999999">
      <c r="A60" s="989"/>
      <c r="C60" s="1638"/>
      <c r="D60" s="577"/>
      <c r="E60" s="548" t="str">
        <f>FHD_NUM_P_24</f>
        <v>2.10.1</v>
      </c>
      <c r="F60" s="1652" t="str">
        <f>FHD_P_24</f>
        <v>Расходы на текущий ремонт</v>
      </c>
      <c r="G60" s="1880" t="s">
        <v>552</v>
      </c>
      <c r="H60" s="559"/>
      <c r="I60" s="559"/>
      <c r="J60" s="291" t="str">
        <f>FHD_NOTE_P_24</f>
        <v>Указываются расходы на текущий ремонт, отнесенные к общепроизводственным расходам.</v>
      </c>
      <c r="K60" s="1638" t="str">
        <f>IF((LEN(E60)-LEN(SUBSTITUTE(E60,".","")))/LEN(".")=1,"p","")</f>
        <v/>
      </c>
      <c r="L60" s="1638"/>
      <c r="M60" s="1638"/>
      <c r="R60" s="1638"/>
      <c r="U60" s="546"/>
      <c r="AA60" s="1634"/>
      <c r="AB60" s="1634"/>
      <c r="AC60" s="1634"/>
      <c r="AD60" s="1634"/>
      <c r="AE60" s="1634"/>
      <c r="AF60" s="1162">
        <v>11</v>
      </c>
    </row>
    <row s="1368" customFormat="1" customHeight="1" ht="11.549999999999999">
      <c r="A61" s="989"/>
      <c r="C61" s="1638"/>
      <c r="D61" s="577"/>
      <c r="E61" s="548" t="str">
        <f>FHD_NUM_P_25</f>
        <v>2.10.2</v>
      </c>
      <c r="F61" s="1652" t="str">
        <f>FHD_P_25</f>
        <v>Расходы на капитальный ремонт</v>
      </c>
      <c r="G61" s="1880" t="s">
        <v>552</v>
      </c>
      <c r="H61" s="559"/>
      <c r="I61" s="559"/>
      <c r="J61" s="291" t="str">
        <f>FHD_NOTE_P_25</f>
        <v>Указываются расходы на капитальный ремонт, отнесенные к общепроизводственным расходам.</v>
      </c>
      <c r="K61" s="1638" t="str">
        <f>IF((LEN(E61)-LEN(SUBSTITUTE(E61,".","")))/LEN(".")=1,"p","")</f>
        <v/>
      </c>
      <c r="L61" s="1638"/>
      <c r="M61" s="1638"/>
      <c r="R61" s="1638"/>
      <c r="U61" s="546"/>
      <c r="AA61" s="1634"/>
      <c r="AB61" s="1634"/>
      <c r="AC61" s="1634"/>
      <c r="AD61" s="1634"/>
      <c r="AE61" s="1634"/>
      <c r="AF61" s="1162">
        <v>11</v>
      </c>
    </row>
    <row s="1368" customFormat="1" customHeight="1" ht="11.549999999999999">
      <c r="A62" s="989"/>
      <c r="C62" s="1638"/>
      <c r="D62" s="1640"/>
      <c r="E62" s="548" t="str">
        <f>FHD_NUM_P_26</f>
        <v>2.11</v>
      </c>
      <c r="F62" s="1526" t="str">
        <f>FHD_P_26</f>
        <v>Общехозяйственные расходы, в том числе:</v>
      </c>
      <c r="G62" s="1880" t="s">
        <v>552</v>
      </c>
      <c r="H62" s="559"/>
      <c r="I62" s="559"/>
      <c r="J62" s="291" t="str">
        <f>FHD_NOTE_P_26</f>
        <v>Указывается общая сумма общехозяйственных расходов.</v>
      </c>
      <c r="K62" s="1638" t="str">
        <f>IF((LEN(E62)-LEN(SUBSTITUTE(E62,".","")))/LEN(".")=1,"p","")</f>
        <v>p</v>
      </c>
      <c r="L62" s="1638"/>
      <c r="M62" s="1638"/>
      <c r="R62" s="1638"/>
      <c r="U62" s="546"/>
      <c r="AA62" s="1634"/>
      <c r="AB62" s="1634"/>
      <c r="AC62" s="1634"/>
      <c r="AD62" s="1634"/>
      <c r="AE62" s="1634"/>
      <c r="AF62" s="1162">
        <v>11</v>
      </c>
    </row>
    <row s="1368" customFormat="1" customHeight="1" ht="11.549999999999999">
      <c r="A63" s="989"/>
      <c r="C63" s="1638"/>
      <c r="D63" s="1640"/>
      <c r="E63" s="548" t="str">
        <f>FHD_NUM_P_27</f>
        <v>2.11.1</v>
      </c>
      <c r="F63" s="1652" t="str">
        <f>FHD_P_27</f>
        <v>Расходы на текущий ремонт</v>
      </c>
      <c r="G63" s="1880" t="s">
        <v>552</v>
      </c>
      <c r="H63" s="559"/>
      <c r="I63" s="559"/>
      <c r="J63" s="291" t="str">
        <f>FHD_NOTE_P_27</f>
        <v>Указываются расходы на текущий ремонт, отнесенные к общехозяйственным расходам.</v>
      </c>
      <c r="K63" s="1638" t="str">
        <f>IF((LEN(E63)-LEN(SUBSTITUTE(E63,".","")))/LEN(".")=1,"p","")</f>
        <v/>
      </c>
      <c r="L63" s="1638"/>
      <c r="M63" s="1638"/>
      <c r="R63" s="1638"/>
      <c r="U63" s="546"/>
      <c r="AA63" s="1634"/>
      <c r="AB63" s="1634"/>
      <c r="AC63" s="1634"/>
      <c r="AD63" s="1634"/>
      <c r="AE63" s="1634"/>
      <c r="AF63" s="1162">
        <v>11</v>
      </c>
    </row>
    <row s="1368" customFormat="1" customHeight="1" ht="11.549999999999999">
      <c r="A64" s="989"/>
      <c r="C64" s="1638"/>
      <c r="D64" s="1640"/>
      <c r="E64" s="548" t="str">
        <f>FHD_NUM_P_28</f>
        <v>2.11.2</v>
      </c>
      <c r="F64" s="1652" t="str">
        <f>FHD_P_28</f>
        <v>Расходы на капитальный ремонт</v>
      </c>
      <c r="G64" s="1880" t="s">
        <v>552</v>
      </c>
      <c r="H64" s="559"/>
      <c r="I64" s="559"/>
      <c r="J64" s="291" t="str">
        <f>FHD_NOTE_P_28</f>
        <v>Указываются расходы на капитальный ремонт, отнесенные к общехозяйственным расходам.</v>
      </c>
      <c r="K64" s="1638" t="str">
        <f>IF((LEN(E64)-LEN(SUBSTITUTE(E64,".","")))/LEN(".")=1,"p","")</f>
        <v/>
      </c>
      <c r="L64" s="1638"/>
      <c r="M64" s="1638"/>
      <c r="R64" s="1638"/>
      <c r="U64" s="546"/>
      <c r="AA64" s="1634"/>
      <c r="AB64" s="1634"/>
      <c r="AC64" s="1634"/>
      <c r="AD64" s="1634"/>
      <c r="AE64" s="1634"/>
      <c r="AF64" s="1162">
        <v>11</v>
      </c>
    </row>
    <row s="1368" customFormat="1" customHeight="1" ht="11.549999999999999">
      <c r="A65" s="989"/>
      <c r="C65" s="1638"/>
      <c r="D65" s="1640"/>
      <c r="E65" s="548" t="str">
        <f>FHD_NUM_P_29</f>
        <v>2.12</v>
      </c>
      <c r="F65" s="1526" t="str">
        <f>FHD_P_29</f>
        <v>Расходы на капитальный и текущий ремонт основных средств</v>
      </c>
      <c r="G65" s="1880" t="s">
        <v>552</v>
      </c>
      <c r="H65" s="559"/>
      <c r="I65" s="559"/>
      <c r="J65" s="291"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8" t="str">
        <f>IF((LEN(E65)-LEN(SUBSTITUTE(E65,".","")))/LEN(".")=1,"p","")</f>
        <v>p</v>
      </c>
      <c r="L65" s="1638"/>
      <c r="M65" s="1638"/>
      <c r="R65" s="1638"/>
      <c r="U65" s="546"/>
      <c r="AA65" s="1634"/>
      <c r="AB65" s="1634"/>
      <c r="AC65" s="1634"/>
      <c r="AD65" s="1634"/>
      <c r="AE65" s="1634"/>
      <c r="AF65" s="1162">
        <v>11</v>
      </c>
    </row>
    <row s="1368" customFormat="1" customHeight="1" ht="11.549999999999999">
      <c r="A66" s="989"/>
      <c r="C66" s="1638"/>
      <c r="D66" s="1640"/>
      <c r="E66" s="548" t="str">
        <f>FHD_NUM_P_30</f>
        <v>2.12.1</v>
      </c>
      <c r="F66" s="1652"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0" t="s">
        <v>306</v>
      </c>
      <c r="H66" s="1651" t="s">
        <v>575</v>
      </c>
      <c r="I66" s="1651" t="s">
        <v>575</v>
      </c>
      <c r="J66" s="291" t="str">
        <f>FHD_NOTE_P_30</f>
        <v/>
      </c>
      <c r="K66" s="1638" t="str">
        <f>IF((LEN(E66)-LEN(SUBSTITUTE(E66,".","")))/LEN(".")=1,"p","")</f>
        <v/>
      </c>
      <c r="L66" s="1638">
        <f>_xlfn.IFERROR(MATCH("есть",B_FHD_FLAG_INDEX_1,0),0)</f>
        <v>0</v>
      </c>
      <c r="M66" s="1638"/>
      <c r="R66" s="1638"/>
      <c r="U66" s="546"/>
      <c r="AA66" s="1634"/>
      <c r="AB66" s="1634"/>
      <c r="AC66" s="1634"/>
      <c r="AD66" s="1634"/>
      <c r="AE66" s="1634"/>
      <c r="AF66" s="1162">
        <v>11</v>
      </c>
    </row>
    <row s="1368" customFormat="1" customHeight="1" ht="23.25" hidden="1">
      <c r="A67" s="2373" t="s">
        <v>576</v>
      </c>
      <c r="C67" s="1638"/>
      <c r="D67" s="1640"/>
      <c r="E67" s="548" t="str">
        <f>FHD_NUM_P_31</f>
        <v/>
      </c>
      <c r="F67" s="1526" t="str">
        <f>FHD_P_31</f>
        <v/>
      </c>
      <c r="G67" s="1880" t="s">
        <v>552</v>
      </c>
      <c r="H67" s="559"/>
      <c r="I67" s="559"/>
      <c r="J67" s="291" t="str">
        <f>FHD_NOTE_P_31</f>
        <v/>
      </c>
      <c r="K67" s="1638" t="str">
        <f>IF((LEN(E67)-LEN(SUBSTITUTE(E67,".","")))/LEN(".")=1,"p","")</f>
        <v/>
      </c>
      <c r="L67" s="1638"/>
      <c r="M67" s="1638"/>
      <c r="R67" s="1638"/>
      <c r="U67" s="546"/>
      <c r="AA67" s="1634"/>
      <c r="AB67" s="1634"/>
      <c r="AC67" s="1634"/>
      <c r="AD67" s="1634"/>
      <c r="AE67" s="1634"/>
      <c r="AF67" s="1162">
        <v>22</v>
      </c>
    </row>
    <row s="1368" customFormat="1" customHeight="1" ht="47.25" hidden="1">
      <c r="A68" s="2373"/>
      <c r="C68" s="1638"/>
      <c r="D68" s="1640"/>
      <c r="E68" s="548" t="str">
        <f>FHD_NUM_P_32</f>
        <v/>
      </c>
      <c r="F68" s="1652" t="str">
        <f>FHD_P_32</f>
        <v/>
      </c>
      <c r="G68" s="1880" t="s">
        <v>306</v>
      </c>
      <c r="H68" s="1651" t="s">
        <v>575</v>
      </c>
      <c r="I68" s="1651" t="s">
        <v>575</v>
      </c>
      <c r="J68" s="291" t="str">
        <f>FHD_NOTE_P_32</f>
        <v/>
      </c>
      <c r="K68" s="1638" t="str">
        <f>IF((LEN(E68)-LEN(SUBSTITUTE(E68,".","")))/LEN(".")=1,"p","")</f>
        <v/>
      </c>
      <c r="L68" s="1638">
        <f>_xlfn.IFERROR(MATCH("есть",B_FHD_FLAG_INDEX_2,0),0)</f>
        <v>0</v>
      </c>
      <c r="M68" s="1638"/>
      <c r="R68" s="1638"/>
      <c r="U68" s="546"/>
      <c r="AA68" s="1634"/>
      <c r="AB68" s="1634"/>
      <c r="AC68" s="1634"/>
      <c r="AD68" s="1634"/>
      <c r="AE68" s="1634"/>
      <c r="AF68" s="1162">
        <v>45</v>
      </c>
    </row>
    <row s="1368" customFormat="1" customHeight="1" ht="11.549999999999999">
      <c r="A69" s="989"/>
      <c r="C69" s="1638"/>
      <c r="D69" s="1640"/>
      <c r="E69" s="548" t="str">
        <f>FHD_NUM_P_33</f>
        <v>2.13</v>
      </c>
      <c r="F69" s="1526"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1" t="s">
        <v>552</v>
      </c>
      <c r="H69" s="581">
        <f>SUM(H70:H71)</f>
        <v>0</v>
      </c>
      <c r="I69" s="581">
        <f>SUM(I70:I71)</f>
        <v>0</v>
      </c>
      <c r="J69" s="291"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8" t="str">
        <f>IF((LEN(E69)-LEN(SUBSTITUTE(E69,".","")))/LEN(".")=1,"p","")</f>
        <v>p</v>
      </c>
      <c r="L69" s="1638"/>
      <c r="M69" s="1638"/>
      <c r="R69" s="1638"/>
      <c r="U69" s="546"/>
      <c r="AA69" s="1634"/>
      <c r="AB69" s="1634"/>
      <c r="AC69" s="1634"/>
      <c r="AD69" s="1634"/>
      <c r="AE69" s="1634"/>
      <c r="AF69" s="1162">
        <v>11</v>
      </c>
    </row>
    <row s="1644" customFormat="1" customHeight="1" ht="1.05">
      <c r="A70" s="1169"/>
      <c r="D70" s="550"/>
      <c r="E70" s="1015" t="str">
        <f>E69&amp;".0"</f>
        <v>2.13.0</v>
      </c>
      <c r="F70" s="993"/>
      <c r="G70" s="1015"/>
      <c r="H70" s="994"/>
      <c r="I70" s="994"/>
      <c r="J70" s="995"/>
      <c r="K70" s="1638" t="str">
        <f>IF((LEN(E70)-LEN(SUBSTITUTE(E70,".","")))/LEN(".")=1,"p","")</f>
        <v/>
      </c>
      <c r="AF70" s="1638">
        <v>1</v>
      </c>
    </row>
    <row s="1368" customFormat="1" customHeight="1" ht="14.699999999999998">
      <c r="A71" s="989"/>
      <c r="C71" s="1638"/>
      <c r="D71" s="1635"/>
      <c r="E71" s="572"/>
      <c r="F71" s="573" t="s">
        <v>577</v>
      </c>
      <c r="G71" s="574"/>
      <c r="H71" s="575"/>
      <c r="I71" s="575"/>
      <c r="J71" s="303"/>
      <c r="K71" s="1638"/>
      <c r="L71" s="1638"/>
      <c r="M71" s="1638"/>
      <c r="R71" s="1638"/>
      <c r="U71" s="546"/>
      <c r="AA71" s="1634"/>
      <c r="AB71" s="1634"/>
      <c r="AC71" s="1634"/>
      <c r="AD71" s="1634"/>
      <c r="AE71" s="1634"/>
      <c r="AF71" s="1162">
        <v>14</v>
      </c>
    </row>
    <row s="1368" customFormat="1" customHeight="1" ht="18.75">
      <c r="A72" s="991" t="s">
        <v>578</v>
      </c>
      <c r="C72" s="1638"/>
      <c r="D72" s="1640"/>
      <c r="E72" s="548" t="str">
        <f>FHD_NUM_P_34</f>
        <v>3</v>
      </c>
      <c r="F72" s="1882" t="str">
        <f>FHD_P_34</f>
        <v>Валовая прибыль (убытки) от реализации товаров и оказания услуг по регулируемому виду деятельности</v>
      </c>
      <c r="G72" s="1880" t="s">
        <v>552</v>
      </c>
      <c r="H72" s="559"/>
      <c r="I72" s="559"/>
      <c r="J72" s="291" t="str">
        <f>FHD_NOTE_P_34</f>
        <v/>
      </c>
      <c r="K72" s="545"/>
      <c r="L72" s="1638"/>
      <c r="M72" s="1638"/>
      <c r="R72" s="1638"/>
      <c r="U72" s="546"/>
      <c r="AA72" s="1634"/>
      <c r="AB72" s="1634"/>
      <c r="AC72" s="1634"/>
      <c r="AD72" s="1634"/>
      <c r="AE72" s="1634"/>
      <c r="AF72" s="1162">
        <v>0</v>
      </c>
    </row>
    <row s="1368" customFormat="1" customHeight="1" ht="19.95">
      <c r="A73" s="989"/>
      <c r="C73" s="1638"/>
      <c r="D73" s="577"/>
      <c r="E73" s="548" t="str">
        <f>FHD_NUM_P_35</f>
        <v>4</v>
      </c>
      <c r="F73" s="1882" t="str">
        <f>FHD_P_35</f>
        <v>Чистая прибыль, полученная от регулируемого вида деятельности, в том числе:</v>
      </c>
      <c r="G73" s="1880" t="s">
        <v>552</v>
      </c>
      <c r="H73" s="559"/>
      <c r="I73" s="559"/>
      <c r="J73" s="291" t="str">
        <f>FHD_NOTE_P_35</f>
        <v>Указывается общая сумма чистой прибыли, полученной от регулируемого вида деятельности.</v>
      </c>
      <c r="K73" s="545"/>
      <c r="L73" s="1638"/>
      <c r="M73" s="1638"/>
      <c r="R73" s="1638"/>
      <c r="U73" s="546"/>
      <c r="AA73" s="1634"/>
      <c r="AB73" s="1634"/>
      <c r="AC73" s="1634"/>
      <c r="AD73" s="1634"/>
      <c r="AE73" s="1634"/>
      <c r="AF73" s="1162">
        <v>19</v>
      </c>
    </row>
    <row s="1368" customFormat="1" customHeight="1" ht="19.95">
      <c r="A74" s="989"/>
      <c r="C74" s="1638"/>
      <c r="D74" s="1640"/>
      <c r="E74" s="548" t="str">
        <f>FHD_NUM_P_36</f>
        <v>4.1</v>
      </c>
      <c r="F74" s="152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0" t="s">
        <v>552</v>
      </c>
      <c r="H74" s="559"/>
      <c r="I74" s="559"/>
      <c r="J74" s="291" t="str">
        <f>FHD_NOTE_P_36</f>
        <v/>
      </c>
      <c r="K74" s="545"/>
      <c r="L74" s="1638"/>
      <c r="M74" s="1638"/>
      <c r="R74" s="1638"/>
      <c r="U74" s="546"/>
      <c r="AA74" s="1634"/>
      <c r="AB74" s="1634"/>
      <c r="AC74" s="1634"/>
      <c r="AD74" s="1634"/>
      <c r="AE74" s="1634"/>
      <c r="AF74" s="1162">
        <v>19</v>
      </c>
    </row>
    <row s="1368" customFormat="1" customHeight="1" ht="19.95">
      <c r="A75" s="989"/>
      <c r="C75" s="1638"/>
      <c r="D75" s="1640"/>
      <c r="E75" s="548" t="str">
        <f>FHD_NUM_P_37</f>
        <v>5</v>
      </c>
      <c r="F75" s="1882" t="str">
        <f>FHD_P_37</f>
        <v>Изменение стоимости основных фондов, в том числе:</v>
      </c>
      <c r="G75" s="1880" t="s">
        <v>552</v>
      </c>
      <c r="H75" s="559"/>
      <c r="I75" s="559"/>
      <c r="J75" s="291" t="str">
        <f>FHD_NOTE_P_37</f>
        <v>Указывается общее изменение стоимости основных фондов.</v>
      </c>
      <c r="K75" s="545"/>
      <c r="L75" s="1638"/>
      <c r="M75" s="1638"/>
      <c r="R75" s="1638"/>
      <c r="U75" s="546"/>
      <c r="AA75" s="1634"/>
      <c r="AB75" s="1634"/>
      <c r="AC75" s="1634"/>
      <c r="AD75" s="1634"/>
      <c r="AE75" s="1634"/>
      <c r="AF75" s="1162">
        <v>19</v>
      </c>
    </row>
    <row s="1368" customFormat="1" customHeight="1" ht="19.95">
      <c r="A76" s="989"/>
      <c r="C76" s="1638"/>
      <c r="D76" s="1640"/>
      <c r="E76" s="548" t="str">
        <f>FHD_NUM_P_38</f>
        <v>5.1</v>
      </c>
      <c r="F76" s="1526" t="str">
        <f>FHD_P_38</f>
        <v>Изменение стоимости основных фондов за счет:</v>
      </c>
      <c r="G76" s="1880" t="s">
        <v>552</v>
      </c>
      <c r="H76" s="559"/>
      <c r="I76" s="559"/>
      <c r="J76" s="291" t="str">
        <f>FHD_NOTE_P_38</f>
        <v>Указываются общее изменение стоимости основных фондов за счет их ввода в эксплуатацию и вывода из эксплуатации.</v>
      </c>
      <c r="K76" s="545"/>
      <c r="L76" s="1638"/>
      <c r="M76" s="1638"/>
      <c r="R76" s="1638"/>
      <c r="U76" s="546"/>
      <c r="AA76" s="1634"/>
      <c r="AB76" s="1634"/>
      <c r="AC76" s="1634"/>
      <c r="AD76" s="1634"/>
      <c r="AE76" s="1634"/>
      <c r="AF76" s="1162">
        <v>19</v>
      </c>
    </row>
    <row s="1368" customFormat="1" customHeight="1" ht="19.95">
      <c r="A77" s="989"/>
      <c r="C77" s="1638"/>
      <c r="D77" s="1640"/>
      <c r="E77" s="548" t="str">
        <f>FHD_NUM_P_39</f>
        <v>5.1.1</v>
      </c>
      <c r="F77" s="1652" t="str">
        <f>FHD_P_39</f>
        <v>Изменения стоимости основных фондов за счет их ввода в эксплуатацию</v>
      </c>
      <c r="G77" s="2074" t="s">
        <v>552</v>
      </c>
      <c r="H77" s="559"/>
      <c r="I77" s="559"/>
      <c r="J77" s="291" t="str">
        <f>FHD_NOTE_P_39</f>
        <v>Указываются изменение стоимости основных фондов за счет их ввода в эксплуатацию.</v>
      </c>
      <c r="K77" s="545"/>
      <c r="L77" s="1638"/>
      <c r="M77" s="1638"/>
      <c r="R77" s="1638"/>
      <c r="U77" s="546"/>
      <c r="AA77" s="1634"/>
      <c r="AB77" s="1634"/>
      <c r="AC77" s="1634"/>
      <c r="AD77" s="1634"/>
      <c r="AE77" s="1634"/>
      <c r="AF77" s="1162">
        <v>19</v>
      </c>
    </row>
    <row s="1368" customFormat="1" customHeight="1" ht="19.95">
      <c r="A78" s="989"/>
      <c r="C78" s="1638"/>
      <c r="D78" s="1640"/>
      <c r="E78" s="548" t="str">
        <f>FHD_NUM_P_40</f>
        <v>5.1.2</v>
      </c>
      <c r="F78" s="2078" t="str">
        <f>FHD_P_40</f>
        <v>Изменения стоимости основных фондов за счет их вывода в эксплуатацию</v>
      </c>
      <c r="G78" s="2073" t="s">
        <v>552</v>
      </c>
      <c r="H78" s="978"/>
      <c r="I78" s="559"/>
      <c r="J78" s="291" t="str">
        <f>FHD_NOTE_P_40</f>
        <v>Указываются изменение стоимости основных фондов за счет их вывода из эксплуатации.</v>
      </c>
      <c r="K78" s="545"/>
      <c r="L78" s="1638"/>
      <c r="M78" s="1638"/>
      <c r="R78" s="1638"/>
      <c r="U78" s="546"/>
      <c r="AA78" s="1634"/>
      <c r="AB78" s="1634"/>
      <c r="AC78" s="1634"/>
      <c r="AD78" s="1634"/>
      <c r="AE78" s="1634"/>
      <c r="AF78" s="1162">
        <v>19</v>
      </c>
    </row>
    <row s="1368" customFormat="1" customHeight="1" ht="19.95">
      <c r="A79" s="989"/>
      <c r="C79" s="1638"/>
      <c r="D79" s="1640"/>
      <c r="E79" s="548" t="str">
        <f>FHD_NUM_P_41</f>
        <v>5.2</v>
      </c>
      <c r="F79" s="2077" t="str">
        <f>FHD_P_41</f>
        <v>Изменение стоимости основных фондов за счет их переоценки</v>
      </c>
      <c r="G79" s="2073" t="s">
        <v>552</v>
      </c>
      <c r="H79" s="978"/>
      <c r="I79" s="559"/>
      <c r="J79" s="291" t="str">
        <f>FHD_NOTE_P_41</f>
        <v/>
      </c>
      <c r="K79" s="545"/>
      <c r="L79" s="1638"/>
      <c r="M79" s="1638"/>
      <c r="R79" s="1638"/>
      <c r="U79" s="546"/>
      <c r="AA79" s="1634"/>
      <c r="AB79" s="1634"/>
      <c r="AC79" s="1634"/>
      <c r="AD79" s="1634"/>
      <c r="AE79" s="1634"/>
      <c r="AF79" s="1162">
        <v>19</v>
      </c>
    </row>
    <row s="1368" customFormat="1" customHeight="1" ht="20.25" hidden="1">
      <c r="A80" s="991" t="s">
        <v>579</v>
      </c>
      <c r="C80" s="1638"/>
      <c r="D80" s="1640"/>
      <c r="E80" s="548" t="str">
        <f>FHD_NUM_P_42</f>
        <v/>
      </c>
      <c r="F80" s="2075" t="str">
        <f>FHD_P_42</f>
        <v/>
      </c>
      <c r="G80" s="2073" t="s">
        <v>552</v>
      </c>
      <c r="H80" s="978"/>
      <c r="I80" s="559"/>
      <c r="J80" s="291" t="str">
        <f>FHD_NOTE_P_42</f>
        <v/>
      </c>
      <c r="K80" s="545"/>
      <c r="L80" s="1638"/>
      <c r="M80" s="1638"/>
      <c r="R80" s="1638"/>
      <c r="U80" s="546"/>
      <c r="AA80" s="1634"/>
      <c r="AB80" s="1634"/>
      <c r="AC80" s="1634"/>
      <c r="AD80" s="1634"/>
      <c r="AE80" s="1634"/>
      <c r="AF80" s="1162">
        <v>19</v>
      </c>
    </row>
    <row s="1368" customFormat="1" customHeight="1" ht="19.95">
      <c r="A81" s="989"/>
      <c r="C81" s="1638"/>
      <c r="D81" s="1640"/>
      <c r="E81" s="548" t="str">
        <f>FHD_NUM_P_43</f>
        <v>6</v>
      </c>
      <c r="F81" s="1882" t="str">
        <f>FHD_P_43</f>
        <v>Годовая бухгалтерская (финансовая) отчетность, включая бухгалтерский баланс и приложения к нему</v>
      </c>
      <c r="G81" s="2076" t="s">
        <v>306</v>
      </c>
      <c r="H81" s="1057"/>
      <c r="I81" s="820"/>
      <c r="J81" s="291"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5"/>
      <c r="L81" s="1638"/>
      <c r="M81" s="1638"/>
      <c r="R81" s="1638"/>
      <c r="U81" s="546"/>
      <c r="AA81" s="1634"/>
      <c r="AB81" s="1634"/>
      <c r="AC81" s="1634"/>
      <c r="AD81" s="1634"/>
      <c r="AE81" s="1634"/>
      <c r="AF81" s="1162">
        <v>19</v>
      </c>
    </row>
    <row s="1368" customFormat="1" customHeight="1" ht="18.75" hidden="1">
      <c r="A82" s="2373" t="s">
        <v>580</v>
      </c>
      <c r="C82" s="737"/>
      <c r="D82" s="735"/>
      <c r="E82" s="548" t="str">
        <f>FHD_NUM_P_44</f>
        <v/>
      </c>
      <c r="F82" s="1882" t="str">
        <f>FHD_P_44</f>
        <v/>
      </c>
      <c r="G82" s="1883" t="s">
        <v>581</v>
      </c>
      <c r="H82" s="979"/>
      <c r="I82" s="579"/>
      <c r="J82" s="291" t="str">
        <f>FHD_NOTE_P_44</f>
        <v/>
      </c>
      <c r="K82" s="736"/>
      <c r="L82" s="737"/>
      <c r="M82" s="737"/>
      <c r="R82" s="737"/>
      <c r="U82" s="738"/>
      <c r="AA82" s="739"/>
      <c r="AB82" s="739"/>
      <c r="AC82" s="739"/>
      <c r="AD82" s="739"/>
      <c r="AE82" s="739"/>
      <c r="AF82" s="912">
        <v>0</v>
      </c>
    </row>
    <row s="1368" customFormat="1" customHeight="1" ht="18.75" hidden="1">
      <c r="A83" s="2373"/>
      <c r="C83" s="737"/>
      <c r="D83" s="735"/>
      <c r="E83" s="548" t="str">
        <f>FHD_NUM_P_45</f>
        <v/>
      </c>
      <c r="F83" s="1882" t="str">
        <f>FHD_P_45</f>
        <v/>
      </c>
      <c r="G83" s="1883" t="s">
        <v>581</v>
      </c>
      <c r="H83" s="979"/>
      <c r="I83" s="579"/>
      <c r="J83" s="291" t="str">
        <f>FHD_NOTE_P_45</f>
        <v/>
      </c>
      <c r="K83" s="736"/>
      <c r="L83" s="737"/>
      <c r="M83" s="737"/>
      <c r="R83" s="737"/>
      <c r="U83" s="738"/>
      <c r="AA83" s="739"/>
      <c r="AB83" s="739"/>
      <c r="AC83" s="739"/>
      <c r="AD83" s="739"/>
      <c r="AE83" s="739"/>
      <c r="AF83" s="912">
        <v>0</v>
      </c>
    </row>
    <row s="1368" customFormat="1" customHeight="1" ht="18.75" hidden="1">
      <c r="A84" s="2373"/>
      <c r="C84" s="737"/>
      <c r="D84" s="740"/>
      <c r="E84" s="548" t="str">
        <f>FHD_NUM_P_46</f>
        <v/>
      </c>
      <c r="F84" s="1882" t="str">
        <f>FHD_P_46</f>
        <v/>
      </c>
      <c r="G84" s="1883" t="s">
        <v>581</v>
      </c>
      <c r="H84" s="979"/>
      <c r="I84" s="579"/>
      <c r="J84" s="291" t="str">
        <f>FHD_NOTE_P_46</f>
        <v/>
      </c>
      <c r="K84" s="736"/>
      <c r="L84" s="737"/>
      <c r="M84" s="737"/>
      <c r="R84" s="737"/>
      <c r="U84" s="738"/>
      <c r="AA84" s="739"/>
      <c r="AB84" s="739"/>
      <c r="AC84" s="739"/>
      <c r="AD84" s="739"/>
      <c r="AE84" s="739"/>
      <c r="AF84" s="912">
        <v>0</v>
      </c>
    </row>
    <row s="1368" customFormat="1" customHeight="1" ht="18.75" hidden="1">
      <c r="A85" s="2373"/>
      <c r="C85" s="737"/>
      <c r="D85" s="735"/>
      <c r="E85" s="548" t="str">
        <f>FHD_NUM_P_47</f>
        <v/>
      </c>
      <c r="F85" s="1882" t="str">
        <f>FHD_P_47</f>
        <v/>
      </c>
      <c r="G85" s="1883" t="s">
        <v>581</v>
      </c>
      <c r="H85" s="979"/>
      <c r="I85" s="579"/>
      <c r="J85" s="291" t="str">
        <f>FHD_NOTE_P_47</f>
        <v/>
      </c>
      <c r="K85" s="736"/>
      <c r="L85" s="737"/>
      <c r="M85" s="737"/>
      <c r="R85" s="737"/>
      <c r="U85" s="738"/>
      <c r="AA85" s="739"/>
      <c r="AB85" s="739"/>
      <c r="AC85" s="739"/>
      <c r="AD85" s="739"/>
      <c r="AE85" s="739"/>
      <c r="AF85" s="912">
        <v>0</v>
      </c>
    </row>
    <row s="1637" customFormat="1" customHeight="1" ht="18.75" hidden="1">
      <c r="A86" s="2373"/>
      <c r="B86" s="912"/>
      <c r="C86" s="737"/>
      <c r="D86" s="735"/>
      <c r="E86" s="548" t="str">
        <f>FHD_NUM_P_48</f>
        <v/>
      </c>
      <c r="F86" s="1882" t="str">
        <f>FHD_P_48</f>
        <v/>
      </c>
      <c r="G86" s="1883" t="s">
        <v>581</v>
      </c>
      <c r="H86" s="979"/>
      <c r="I86" s="579"/>
      <c r="J86" s="291" t="str">
        <f>FHD_NOTE_P_48</f>
        <v/>
      </c>
      <c r="K86" s="736"/>
      <c r="L86" s="737"/>
      <c r="M86" s="737"/>
      <c r="N86" s="912"/>
      <c r="O86" s="912"/>
      <c r="P86" s="912"/>
      <c r="Q86" s="912"/>
      <c r="R86" s="737"/>
      <c r="S86" s="912"/>
      <c r="T86" s="912"/>
      <c r="U86" s="738"/>
      <c r="V86" s="912"/>
      <c r="W86" s="912"/>
      <c r="X86" s="912"/>
      <c r="Y86" s="912"/>
      <c r="Z86" s="912"/>
      <c r="AA86" s="739"/>
      <c r="AB86" s="739"/>
      <c r="AC86" s="739"/>
      <c r="AD86" s="739"/>
      <c r="AE86" s="739"/>
      <c r="AF86" s="741">
        <v>0</v>
      </c>
    </row>
    <row s="1637" customFormat="1" customHeight="1" ht="18.75" hidden="1">
      <c r="A87" s="2373"/>
      <c r="B87" s="912"/>
      <c r="C87" s="737"/>
      <c r="D87" s="735"/>
      <c r="E87" s="548" t="str">
        <f>FHD_NUM_P_49</f>
        <v/>
      </c>
      <c r="F87" s="1882" t="str">
        <f>FHD_P_49</f>
        <v/>
      </c>
      <c r="G87" s="1883" t="s">
        <v>581</v>
      </c>
      <c r="H87" s="980">
        <f>SUM(H88:H89)</f>
        <v>0</v>
      </c>
      <c r="I87" s="751">
        <f>SUM(I88:I89)</f>
        <v>0</v>
      </c>
      <c r="J87" s="291" t="str">
        <f>FHD_NOTE_P_49</f>
        <v/>
      </c>
      <c r="K87" s="736"/>
      <c r="L87" s="737"/>
      <c r="M87" s="737"/>
      <c r="N87" s="912"/>
      <c r="O87" s="912"/>
      <c r="P87" s="912"/>
      <c r="Q87" s="912"/>
      <c r="R87" s="737"/>
      <c r="S87" s="912"/>
      <c r="T87" s="912"/>
      <c r="U87" s="738"/>
      <c r="V87" s="912"/>
      <c r="W87" s="912"/>
      <c r="X87" s="912"/>
      <c r="Y87" s="912"/>
      <c r="Z87" s="912"/>
      <c r="AA87" s="739"/>
      <c r="AB87" s="739"/>
      <c r="AC87" s="739"/>
      <c r="AD87" s="739"/>
      <c r="AE87" s="739"/>
      <c r="AF87" s="741">
        <v>0</v>
      </c>
    </row>
    <row s="1637" customFormat="1" customHeight="1" ht="18.75" hidden="1">
      <c r="A88" s="2373"/>
      <c r="B88" s="912"/>
      <c r="C88" s="737"/>
      <c r="D88" s="735"/>
      <c r="E88" s="548" t="str">
        <f>FHD_NUM_P_50</f>
        <v/>
      </c>
      <c r="F88" s="1882" t="str">
        <f>FHD_P_50</f>
        <v/>
      </c>
      <c r="G88" s="1883" t="s">
        <v>581</v>
      </c>
      <c r="H88" s="979"/>
      <c r="I88" s="579"/>
      <c r="J88" s="291" t="str">
        <f>FHD_NOTE_P_50</f>
        <v/>
      </c>
      <c r="K88" s="736"/>
      <c r="L88" s="737"/>
      <c r="M88" s="737"/>
      <c r="N88" s="912"/>
      <c r="O88" s="912"/>
      <c r="P88" s="912"/>
      <c r="Q88" s="912"/>
      <c r="R88" s="737"/>
      <c r="S88" s="912"/>
      <c r="T88" s="912"/>
      <c r="U88" s="738"/>
      <c r="V88" s="912"/>
      <c r="W88" s="912"/>
      <c r="X88" s="912"/>
      <c r="Y88" s="912"/>
      <c r="Z88" s="912"/>
      <c r="AA88" s="739"/>
      <c r="AB88" s="739"/>
      <c r="AC88" s="739"/>
      <c r="AD88" s="739"/>
      <c r="AE88" s="739"/>
      <c r="AF88" s="741">
        <v>0</v>
      </c>
    </row>
    <row s="1637" customFormat="1" customHeight="1" ht="18.75" hidden="1">
      <c r="A89" s="2373"/>
      <c r="B89" s="912"/>
      <c r="C89" s="737"/>
      <c r="D89" s="735"/>
      <c r="E89" s="548" t="str">
        <f>FHD_NUM_P_51</f>
        <v/>
      </c>
      <c r="F89" s="1882" t="str">
        <f>FHD_P_51</f>
        <v/>
      </c>
      <c r="G89" s="1883" t="s">
        <v>581</v>
      </c>
      <c r="H89" s="979"/>
      <c r="I89" s="579"/>
      <c r="J89" s="291" t="str">
        <f>FHD_NOTE_P_51</f>
        <v/>
      </c>
      <c r="K89" s="736"/>
      <c r="L89" s="737"/>
      <c r="M89" s="737"/>
      <c r="N89" s="912"/>
      <c r="O89" s="912"/>
      <c r="P89" s="912"/>
      <c r="Q89" s="912"/>
      <c r="R89" s="737"/>
      <c r="S89" s="912"/>
      <c r="T89" s="912"/>
      <c r="U89" s="738"/>
      <c r="V89" s="912"/>
      <c r="W89" s="912"/>
      <c r="X89" s="912"/>
      <c r="Y89" s="912"/>
      <c r="Z89" s="912"/>
      <c r="AA89" s="739"/>
      <c r="AB89" s="739"/>
      <c r="AC89" s="739"/>
      <c r="AD89" s="739"/>
      <c r="AE89" s="739"/>
      <c r="AF89" s="741">
        <v>0</v>
      </c>
    </row>
    <row s="1637" customFormat="1" customHeight="1" ht="18.75" hidden="1">
      <c r="A90" s="2373"/>
      <c r="B90" s="912"/>
      <c r="C90" s="737"/>
      <c r="D90" s="735"/>
      <c r="E90" s="548" t="str">
        <f>FHD_NUM_P_52</f>
        <v/>
      </c>
      <c r="F90" s="1882" t="str">
        <f>FHD_P_52</f>
        <v/>
      </c>
      <c r="G90" s="1883" t="s">
        <v>558</v>
      </c>
      <c r="H90" s="978"/>
      <c r="I90" s="559"/>
      <c r="J90" s="291" t="str">
        <f>FHD_NOTE_P_52</f>
        <v/>
      </c>
      <c r="K90" s="736"/>
      <c r="L90" s="737"/>
      <c r="M90" s="737"/>
      <c r="N90" s="912"/>
      <c r="O90" s="912"/>
      <c r="P90" s="912"/>
      <c r="Q90" s="912"/>
      <c r="R90" s="737"/>
      <c r="S90" s="912"/>
      <c r="T90" s="912"/>
      <c r="U90" s="738"/>
      <c r="V90" s="912"/>
      <c r="W90" s="912"/>
      <c r="X90" s="912"/>
      <c r="Y90" s="912"/>
      <c r="Z90" s="912"/>
      <c r="AA90" s="739"/>
      <c r="AB90" s="739"/>
      <c r="AC90" s="739"/>
      <c r="AD90" s="739"/>
      <c r="AE90" s="739"/>
      <c r="AF90" s="741">
        <v>0</v>
      </c>
    </row>
    <row s="1368" customFormat="1" customHeight="1" ht="18.75" hidden="1">
      <c r="A91" s="2375" t="s">
        <v>582</v>
      </c>
      <c r="C91" s="737"/>
      <c r="D91" s="735"/>
      <c r="E91" s="548" t="str">
        <f>FHD_NUM_P_53</f>
        <v/>
      </c>
      <c r="F91" s="1882" t="str">
        <f>FHD_P_53</f>
        <v/>
      </c>
      <c r="G91" s="1883" t="s">
        <v>581</v>
      </c>
      <c r="H91" s="979"/>
      <c r="I91" s="579"/>
      <c r="J91" s="291" t="str">
        <f>FHD_NOTE_P_53</f>
        <v/>
      </c>
      <c r="K91" s="736"/>
      <c r="L91" s="737"/>
      <c r="M91" s="737"/>
      <c r="R91" s="737"/>
      <c r="U91" s="738"/>
      <c r="AA91" s="739"/>
      <c r="AB91" s="739"/>
      <c r="AC91" s="739"/>
      <c r="AD91" s="739"/>
      <c r="AE91" s="739"/>
      <c r="AF91" s="912">
        <v>0</v>
      </c>
    </row>
    <row s="1368" customFormat="1" customHeight="1" ht="18.75" hidden="1">
      <c r="A92" s="2375"/>
      <c r="C92" s="737"/>
      <c r="D92" s="735"/>
      <c r="E92" s="548" t="str">
        <f>FHD_NUM_P_54</f>
        <v/>
      </c>
      <c r="F92" s="1882" t="str">
        <f>FHD_P_54</f>
        <v/>
      </c>
      <c r="G92" s="1883" t="s">
        <v>581</v>
      </c>
      <c r="H92" s="979"/>
      <c r="I92" s="579"/>
      <c r="J92" s="291" t="str">
        <f>FHD_NOTE_P_54</f>
        <v/>
      </c>
      <c r="K92" s="736"/>
      <c r="L92" s="737"/>
      <c r="M92" s="737"/>
      <c r="R92" s="737"/>
      <c r="U92" s="738"/>
      <c r="AA92" s="739"/>
      <c r="AB92" s="739"/>
      <c r="AC92" s="739"/>
      <c r="AD92" s="739"/>
      <c r="AE92" s="739"/>
      <c r="AF92" s="912">
        <v>0</v>
      </c>
    </row>
    <row s="1368" customFormat="1" customHeight="1" ht="18.75" hidden="1">
      <c r="A93" s="2375"/>
      <c r="C93" s="737"/>
      <c r="D93" s="740"/>
      <c r="E93" s="548" t="str">
        <f>FHD_NUM_P_55</f>
        <v/>
      </c>
      <c r="F93" s="1882" t="str">
        <f>FHD_P_55</f>
        <v/>
      </c>
      <c r="G93" s="1886"/>
      <c r="H93" s="979"/>
      <c r="I93" s="579"/>
      <c r="J93" s="291" t="str">
        <f>FHD_NOTE_P_55</f>
        <v/>
      </c>
      <c r="K93" s="736"/>
      <c r="L93" s="737"/>
      <c r="M93" s="737"/>
      <c r="R93" s="737"/>
      <c r="U93" s="738"/>
      <c r="AA93" s="739"/>
      <c r="AB93" s="739"/>
      <c r="AC93" s="739"/>
      <c r="AD93" s="739"/>
      <c r="AE93" s="739"/>
      <c r="AF93" s="912">
        <v>0</v>
      </c>
    </row>
    <row s="1368" customFormat="1" customHeight="1" ht="18.75" hidden="1">
      <c r="A94" s="2375"/>
      <c r="C94" s="737"/>
      <c r="D94" s="735"/>
      <c r="E94" s="548" t="str">
        <f>FHD_NUM_P_56</f>
        <v/>
      </c>
      <c r="F94" s="1882" t="str">
        <f>FHD_P_56</f>
        <v/>
      </c>
      <c r="G94" s="1883" t="s">
        <v>583</v>
      </c>
      <c r="H94" s="979"/>
      <c r="I94" s="579"/>
      <c r="J94" s="291" t="str">
        <f>FHD_NOTE_P_56</f>
        <v/>
      </c>
      <c r="K94" s="736"/>
      <c r="L94" s="737"/>
      <c r="M94" s="737"/>
      <c r="R94" s="737"/>
      <c r="U94" s="738"/>
      <c r="AA94" s="739"/>
      <c r="AB94" s="739"/>
      <c r="AC94" s="739"/>
      <c r="AD94" s="739"/>
      <c r="AE94" s="739"/>
      <c r="AF94" s="912">
        <v>0</v>
      </c>
    </row>
    <row s="1637" customFormat="1" customHeight="1" ht="18.75" hidden="1">
      <c r="A95" s="2375"/>
      <c r="B95" s="912"/>
      <c r="C95" s="737"/>
      <c r="D95" s="735"/>
      <c r="E95" s="548" t="str">
        <f>FHD_NUM_P_57</f>
        <v/>
      </c>
      <c r="F95" s="1882" t="str">
        <f>FHD_P_57</f>
        <v/>
      </c>
      <c r="G95" s="1883" t="s">
        <v>558</v>
      </c>
      <c r="H95" s="978"/>
      <c r="I95" s="559"/>
      <c r="J95" s="291" t="str">
        <f>FHD_NOTE_P_57</f>
        <v/>
      </c>
      <c r="K95" s="736"/>
      <c r="L95" s="737"/>
      <c r="M95" s="737"/>
      <c r="N95" s="912"/>
      <c r="O95" s="912"/>
      <c r="P95" s="912"/>
      <c r="Q95" s="912"/>
      <c r="R95" s="737"/>
      <c r="S95" s="912"/>
      <c r="T95" s="912"/>
      <c r="U95" s="738"/>
      <c r="V95" s="912"/>
      <c r="W95" s="912"/>
      <c r="X95" s="912"/>
      <c r="Y95" s="912"/>
      <c r="Z95" s="912"/>
      <c r="AA95" s="739"/>
      <c r="AB95" s="739"/>
      <c r="AC95" s="739"/>
      <c r="AD95" s="739"/>
      <c r="AE95" s="739"/>
      <c r="AF95" s="741">
        <v>0</v>
      </c>
    </row>
    <row customHeight="1" ht="18.75" hidden="1">
      <c r="A96" s="2373" t="s">
        <v>584</v>
      </c>
      <c r="D96" s="1640"/>
      <c r="E96" s="548" t="str">
        <f>FHD_NUM_P_58</f>
        <v/>
      </c>
      <c r="F96" s="1882" t="str">
        <f>FHD_P_58</f>
        <v/>
      </c>
      <c r="G96" s="1883" t="s">
        <v>581</v>
      </c>
      <c r="H96" s="979"/>
      <c r="I96" s="579"/>
      <c r="J96" s="291" t="str">
        <f>FHD_NOTE_P_58</f>
        <v/>
      </c>
      <c r="K96" s="545"/>
      <c r="AF96" s="1633">
        <v>0</v>
      </c>
    </row>
    <row customHeight="1" ht="18.75" hidden="1">
      <c r="A97" s="2373"/>
      <c r="D97" s="1640"/>
      <c r="E97" s="548" t="str">
        <f>FHD_NUM_P_59</f>
        <v/>
      </c>
      <c r="F97" s="1882" t="str">
        <f>FHD_P_59</f>
        <v/>
      </c>
      <c r="G97" s="1883" t="s">
        <v>581</v>
      </c>
      <c r="H97" s="979"/>
      <c r="I97" s="579"/>
      <c r="J97" s="291" t="str">
        <f>FHD_NOTE_P_59</f>
        <v/>
      </c>
      <c r="K97" s="545"/>
      <c r="AF97" s="1633">
        <v>0</v>
      </c>
    </row>
    <row customHeight="1" ht="18.75" hidden="1">
      <c r="A98" s="2373"/>
      <c r="D98" s="1640"/>
      <c r="E98" s="548" t="str">
        <f>FHD_NUM_P_60</f>
        <v/>
      </c>
      <c r="F98" s="1882" t="str">
        <f>FHD_P_60</f>
        <v/>
      </c>
      <c r="G98" s="1883" t="s">
        <v>581</v>
      </c>
      <c r="H98" s="979"/>
      <c r="I98" s="579"/>
      <c r="J98" s="291" t="str">
        <f>FHD_NOTE_P_60</f>
        <v/>
      </c>
      <c r="K98" s="545"/>
      <c r="AF98" s="1633">
        <v>0</v>
      </c>
    </row>
    <row s="1368" customFormat="1" customHeight="1" ht="18.75">
      <c r="A99" s="2373" t="s">
        <v>585</v>
      </c>
      <c r="C99" s="1638"/>
      <c r="D99" s="1640"/>
      <c r="E99" s="548" t="str">
        <f>FHD_NUM_P_61</f>
        <v>7</v>
      </c>
      <c r="F99" s="1882"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0" t="s">
        <v>556</v>
      </c>
      <c r="H99" s="981"/>
      <c r="I99" s="744"/>
      <c r="J99" s="291"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5"/>
      <c r="L99" s="1638"/>
      <c r="M99" s="1638"/>
      <c r="R99" s="1638"/>
      <c r="U99" s="546"/>
      <c r="AA99" s="1634"/>
      <c r="AB99" s="1634"/>
      <c r="AC99" s="1634"/>
      <c r="AD99" s="1634"/>
      <c r="AE99" s="1634"/>
      <c r="AF99" s="1162">
        <v>0</v>
      </c>
    </row>
    <row s="1644" customFormat="1" customHeight="1" ht="0.75">
      <c r="A100" s="2373"/>
      <c r="D100" s="550"/>
      <c r="E100" s="1015" t="str">
        <f>E99&amp;".0"</f>
        <v>7.0</v>
      </c>
      <c r="F100" s="996"/>
      <c r="G100" s="997"/>
      <c r="H100" s="994"/>
      <c r="I100" s="994"/>
      <c r="J100" s="998"/>
      <c r="AF100" s="1638">
        <v>0</v>
      </c>
    </row>
    <row customHeight="1" ht="15">
      <c r="A101" s="2373"/>
      <c r="D101" s="1635"/>
      <c r="E101" s="973"/>
      <c r="F101" s="974" t="s">
        <v>586</v>
      </c>
      <c r="G101" s="574"/>
      <c r="H101" s="575"/>
      <c r="I101" s="575"/>
      <c r="J101" s="1006" t="s">
        <v>587</v>
      </c>
      <c r="K101" s="545"/>
      <c r="AF101" s="1633">
        <v>0</v>
      </c>
    </row>
    <row s="1368" customFormat="1" customHeight="1" ht="18.75">
      <c r="A102" s="2373"/>
      <c r="C102" s="1638"/>
      <c r="D102" s="1640"/>
      <c r="E102" s="548" t="str">
        <f>FHD_NUM_P_62</f>
        <v>8</v>
      </c>
      <c r="F102" s="1882" t="str">
        <f>FHD_P_62</f>
        <v>Тепловая нагрузка по договорам, заключенным в рамках осуществления регулируемых видов деятельности</v>
      </c>
      <c r="G102" s="1879" t="s">
        <v>556</v>
      </c>
      <c r="H102" s="559"/>
      <c r="I102" s="559"/>
      <c r="J102" s="291"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5"/>
      <c r="L102" s="1638"/>
      <c r="M102" s="1638"/>
      <c r="R102" s="1638"/>
      <c r="U102" s="546"/>
      <c r="AA102" s="1634"/>
      <c r="AB102" s="1634"/>
      <c r="AC102" s="1634"/>
      <c r="AD102" s="1634"/>
      <c r="AE102" s="1634"/>
      <c r="AF102" s="1162">
        <v>0</v>
      </c>
    </row>
    <row s="1368" customFormat="1" customHeight="1" ht="18.75">
      <c r="A103" s="2373"/>
      <c r="C103" s="1638"/>
      <c r="D103" s="1640"/>
      <c r="E103" s="548" t="str">
        <f>FHD_NUM_P_63</f>
        <v>9</v>
      </c>
      <c r="F103" s="1882" t="str">
        <f>FHD_P_63</f>
        <v>Объем вырабатываемой регулируемой организацией тепловой энергии в рамках осуществления регулируемых видов деятельности</v>
      </c>
      <c r="G103" s="1879" t="s">
        <v>583</v>
      </c>
      <c r="H103" s="579"/>
      <c r="I103" s="579"/>
      <c r="J103" s="291"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5"/>
      <c r="L103" s="1638"/>
      <c r="M103" s="1638"/>
      <c r="R103" s="1638"/>
      <c r="U103" s="546"/>
      <c r="AA103" s="1634"/>
      <c r="AB103" s="1634"/>
      <c r="AC103" s="1634"/>
      <c r="AD103" s="1634"/>
      <c r="AE103" s="1634"/>
      <c r="AF103" s="1162">
        <v>0</v>
      </c>
    </row>
    <row s="1368" customFormat="1" customHeight="1" ht="18.75">
      <c r="A104" s="2373"/>
      <c r="C104" s="1638" t="s">
        <v>588</v>
      </c>
      <c r="D104" s="1640"/>
      <c r="E104" s="548" t="str">
        <f>FHD_NUM_P_64</f>
        <v>9.1</v>
      </c>
      <c r="F104" s="1882" t="str">
        <f>FHD_P_64</f>
        <v>Объем приобретаемой регулируемой организацией тепловой энергии в рамках осуществления регулируемых видов деятельности</v>
      </c>
      <c r="G104" s="1879" t="s">
        <v>583</v>
      </c>
      <c r="H104" s="547"/>
      <c r="I104" s="547"/>
      <c r="J104" s="291" t="str">
        <f>FHD_NOTE_P_64</f>
        <v>Информация указывается только едиными теплоснабжающими организациями.</v>
      </c>
      <c r="K104" s="545"/>
      <c r="L104" s="1638"/>
      <c r="M104" s="1638"/>
      <c r="R104" s="1638"/>
      <c r="U104" s="546"/>
      <c r="AA104" s="1634"/>
      <c r="AB104" s="1634"/>
      <c r="AC104" s="1634"/>
      <c r="AD104" s="1634"/>
      <c r="AE104" s="1634"/>
      <c r="AF104" s="1162">
        <v>0</v>
      </c>
    </row>
    <row s="1368" customFormat="1" customHeight="1" ht="18.75">
      <c r="A105" s="2373"/>
      <c r="C105" s="1638"/>
      <c r="D105" s="1640"/>
      <c r="E105" s="548" t="str">
        <f>FHD_NUM_P_65</f>
        <v>10</v>
      </c>
      <c r="F105" s="1882"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9" t="s">
        <v>583</v>
      </c>
      <c r="H105" s="579"/>
      <c r="I105" s="579"/>
      <c r="J105" s="291"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5"/>
      <c r="L105" s="1638"/>
      <c r="M105" s="1638"/>
      <c r="R105" s="1638"/>
      <c r="U105" s="546"/>
      <c r="AA105" s="1634"/>
      <c r="AB105" s="1634"/>
      <c r="AC105" s="1634"/>
      <c r="AD105" s="1634"/>
      <c r="AE105" s="1634"/>
      <c r="AF105" s="1162">
        <v>0</v>
      </c>
    </row>
    <row s="1368" customFormat="1" customHeight="1" ht="18.75">
      <c r="A106" s="2373"/>
      <c r="C106" s="1638"/>
      <c r="D106" s="1640"/>
      <c r="E106" s="548" t="str">
        <f>FHD_NUM_P_66</f>
        <v>10.1</v>
      </c>
      <c r="F106" s="1526" t="str">
        <f>FHD_P_66</f>
        <v>По приборам учёта </v>
      </c>
      <c r="G106" s="1879" t="s">
        <v>583</v>
      </c>
      <c r="H106" s="579"/>
      <c r="I106" s="579"/>
      <c r="J106" s="291" t="str">
        <f>FHD_NOTE_P_66</f>
        <v/>
      </c>
      <c r="K106" s="545"/>
      <c r="L106" s="1638"/>
      <c r="M106" s="1638"/>
      <c r="R106" s="1638"/>
      <c r="U106" s="546"/>
      <c r="AA106" s="1634"/>
      <c r="AB106" s="1634"/>
      <c r="AC106" s="1634"/>
      <c r="AD106" s="1634"/>
      <c r="AE106" s="1634"/>
      <c r="AF106" s="1162">
        <v>0</v>
      </c>
    </row>
    <row s="1368" customFormat="1" customHeight="1" ht="18.75">
      <c r="A107" s="2373"/>
      <c r="C107" s="1638"/>
      <c r="D107" s="1640"/>
      <c r="E107" s="548" t="str">
        <f>FHD_NUM_P_67</f>
        <v>10.1.1</v>
      </c>
      <c r="F107" s="1652"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9" t="s">
        <v>583</v>
      </c>
      <c r="H107" s="579"/>
      <c r="I107" s="579"/>
      <c r="J107" s="291" t="str">
        <f>FHD_NOTE_P_67</f>
        <v/>
      </c>
      <c r="K107" s="545"/>
      <c r="L107" s="1638"/>
      <c r="M107" s="1638"/>
      <c r="R107" s="1638"/>
      <c r="U107" s="546"/>
      <c r="AA107" s="1634"/>
      <c r="AB107" s="1634"/>
      <c r="AC107" s="1634"/>
      <c r="AD107" s="1634"/>
      <c r="AE107" s="1634"/>
      <c r="AF107" s="1162">
        <v>0</v>
      </c>
    </row>
    <row s="1368" customFormat="1" customHeight="1" ht="18.75">
      <c r="A108" s="2373"/>
      <c r="C108" s="1638"/>
      <c r="D108" s="1640"/>
      <c r="E108" s="548" t="str">
        <f>FHD_NUM_P_68</f>
        <v>10.2</v>
      </c>
      <c r="F108" s="1526" t="str">
        <f>FHD_P_68</f>
        <v>Расчётным путём</v>
      </c>
      <c r="G108" s="1879" t="s">
        <v>583</v>
      </c>
      <c r="H108" s="579"/>
      <c r="I108" s="579"/>
      <c r="J108" s="291" t="str">
        <f>FHD_NOTE_P_68</f>
        <v/>
      </c>
      <c r="K108" s="545"/>
      <c r="L108" s="1638"/>
      <c r="M108" s="1638"/>
      <c r="R108" s="1638"/>
      <c r="U108" s="546"/>
      <c r="AA108" s="1634"/>
      <c r="AB108" s="1634"/>
      <c r="AC108" s="1634"/>
      <c r="AD108" s="1634"/>
      <c r="AE108" s="1634"/>
      <c r="AF108" s="1162">
        <v>0</v>
      </c>
    </row>
    <row s="1368" customFormat="1" customHeight="1" ht="18.75">
      <c r="A109" s="2373"/>
      <c r="C109" s="1638"/>
      <c r="D109" s="1640"/>
      <c r="E109" s="548" t="str">
        <f>FHD_NUM_P_69</f>
        <v>10.3</v>
      </c>
      <c r="F109" s="1526" t="str">
        <f>FHD_P_69</f>
        <v>По нормативам потребления коммунальных услуг и нормативам потребления коммунальных ресурсов</v>
      </c>
      <c r="G109" s="1879" t="s">
        <v>583</v>
      </c>
      <c r="H109" s="579"/>
      <c r="I109" s="579"/>
      <c r="J109" s="291" t="str">
        <f>FHD_NOTE_P_69</f>
        <v/>
      </c>
      <c r="K109" s="545"/>
      <c r="L109" s="1638"/>
      <c r="M109" s="1638"/>
      <c r="R109" s="1638"/>
      <c r="U109" s="546"/>
      <c r="AA109" s="1634"/>
      <c r="AB109" s="1634"/>
      <c r="AC109" s="1634"/>
      <c r="AD109" s="1634"/>
      <c r="AE109" s="1634"/>
      <c r="AF109" s="1162">
        <v>0</v>
      </c>
    </row>
    <row s="1368" customFormat="1" customHeight="1" ht="22.5">
      <c r="A110" s="2373"/>
      <c r="C110" s="1638"/>
      <c r="D110" s="1640"/>
      <c r="E110" s="548" t="str">
        <f>FHD_NUM_P_70</f>
        <v>11</v>
      </c>
      <c r="F110" s="1882"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9" t="s">
        <v>589</v>
      </c>
      <c r="H110" s="559"/>
      <c r="I110" s="559"/>
      <c r="J110" s="291" t="str">
        <f>FHD_NOTE_P_70</f>
        <v/>
      </c>
      <c r="K110" s="545"/>
      <c r="L110" s="1638"/>
      <c r="M110" s="1638"/>
      <c r="R110" s="1638"/>
      <c r="U110" s="546"/>
      <c r="AA110" s="1634"/>
      <c r="AB110" s="1634"/>
      <c r="AC110" s="1634"/>
      <c r="AD110" s="1634"/>
      <c r="AE110" s="1634"/>
      <c r="AF110" s="1162">
        <v>0</v>
      </c>
    </row>
    <row s="1368" customFormat="1" customHeight="1" ht="22.5">
      <c r="A111" s="2373"/>
      <c r="C111" s="1638"/>
      <c r="D111" s="1640"/>
      <c r="E111" s="548" t="str">
        <f>FHD_NUM_P_71</f>
        <v>12</v>
      </c>
      <c r="F111" s="1882" t="str">
        <f>FHD_P_71</f>
        <v>Фактический объем потерь при передаче тепловой энергии</v>
      </c>
      <c r="G111" s="1879" t="s">
        <v>589</v>
      </c>
      <c r="H111" s="559"/>
      <c r="I111" s="559"/>
      <c r="J111" s="291" t="str">
        <f>FHD_NOTE_P_71</f>
        <v/>
      </c>
      <c r="K111" s="545"/>
      <c r="L111" s="1638"/>
      <c r="M111" s="1638"/>
      <c r="R111" s="1638"/>
      <c r="U111" s="546"/>
      <c r="AA111" s="1634"/>
      <c r="AB111" s="1634"/>
      <c r="AC111" s="1634"/>
      <c r="AD111" s="1634"/>
      <c r="AE111" s="1634"/>
      <c r="AF111" s="1162">
        <v>0</v>
      </c>
    </row>
    <row customHeight="1" ht="19.95">
      <c r="D112" s="1640"/>
      <c r="E112" s="548" t="str">
        <f>FHD_NUM_P_72</f>
        <v>13</v>
      </c>
      <c r="F112" s="1882" t="str">
        <f>FHD_P_72</f>
        <v>Среднесписочная численность основного производственного персонала</v>
      </c>
      <c r="G112" s="1878" t="s">
        <v>590</v>
      </c>
      <c r="H112" s="579"/>
      <c r="I112" s="579"/>
      <c r="J112" s="291" t="str">
        <f>FHD_NOTE_P_72</f>
        <v/>
      </c>
      <c r="K112" s="545"/>
      <c r="AF112" s="1633">
        <v>19</v>
      </c>
    </row>
    <row customHeight="1" ht="18.75">
      <c r="A113" s="991" t="s">
        <v>591</v>
      </c>
      <c r="D113" s="1640"/>
      <c r="E113" s="548" t="str">
        <f>FHD_NUM_P_73</f>
        <v>14</v>
      </c>
      <c r="F113" s="1882" t="str">
        <f>FHD_P_73</f>
        <v>Среднесписочная численность административно-управленческого персонала</v>
      </c>
      <c r="G113" s="972" t="s">
        <v>590</v>
      </c>
      <c r="H113" s="970"/>
      <c r="I113" s="970"/>
      <c r="J113" s="291" t="str">
        <f>FHD_NOTE_P_73</f>
        <v/>
      </c>
      <c r="K113" s="545"/>
      <c r="AF113" s="1633">
        <v>0</v>
      </c>
    </row>
    <row customHeight="1" ht="33.75" hidden="1">
      <c r="A114" s="991" t="s">
        <v>592</v>
      </c>
      <c r="D114" s="1640"/>
      <c r="E114" s="548" t="str">
        <f>FHD_NUM_P_74</f>
        <v/>
      </c>
      <c r="F114" s="1882" t="str">
        <f>FHD_P_74</f>
        <v/>
      </c>
      <c r="G114" s="1878" t="s">
        <v>593</v>
      </c>
      <c r="H114" s="579"/>
      <c r="I114" s="579"/>
      <c r="J114" s="291" t="str">
        <f>FHD_NOTE_P_74</f>
        <v/>
      </c>
      <c r="K114" s="545"/>
      <c r="AF114" s="1633">
        <v>0</v>
      </c>
    </row>
    <row s="1637" customFormat="1" customHeight="1" ht="18.75" hidden="1">
      <c r="A115" s="2375" t="s">
        <v>594</v>
      </c>
      <c r="B115" s="912"/>
      <c r="C115" s="737"/>
      <c r="D115" s="735"/>
      <c r="E115" s="548" t="str">
        <f>FHD_NUM_P_75</f>
        <v/>
      </c>
      <c r="F115" s="1882" t="str">
        <f>FHD_P_75</f>
        <v/>
      </c>
      <c r="G115" s="1878" t="s">
        <v>558</v>
      </c>
      <c r="H115" s="559"/>
      <c r="I115" s="559"/>
      <c r="J115" s="291" t="str">
        <f>FHD_NOTE_P_75</f>
        <v/>
      </c>
      <c r="K115" s="736"/>
      <c r="L115" s="737"/>
      <c r="M115" s="737"/>
      <c r="N115" s="912"/>
      <c r="O115" s="912"/>
      <c r="P115" s="912"/>
      <c r="Q115" s="912"/>
      <c r="R115" s="737"/>
      <c r="S115" s="912"/>
      <c r="T115" s="912"/>
      <c r="U115" s="738"/>
      <c r="V115" s="912"/>
      <c r="W115" s="912"/>
      <c r="X115" s="912"/>
      <c r="Y115" s="912"/>
      <c r="Z115" s="912"/>
      <c r="AA115" s="739"/>
      <c r="AB115" s="739"/>
      <c r="AC115" s="739"/>
      <c r="AD115" s="739"/>
      <c r="AE115" s="739"/>
      <c r="AF115" s="741">
        <v>0</v>
      </c>
    </row>
    <row s="1637" customFormat="1" customHeight="1" ht="18.75" hidden="1">
      <c r="A116" s="2375"/>
      <c r="B116" s="912"/>
      <c r="C116" s="737"/>
      <c r="D116" s="735"/>
      <c r="E116" s="548" t="str">
        <f>FHD_NUM_P_76</f>
        <v/>
      </c>
      <c r="F116" s="1882" t="str">
        <f>FHD_P_76</f>
        <v/>
      </c>
      <c r="G116" s="1878" t="s">
        <v>558</v>
      </c>
      <c r="H116" s="559"/>
      <c r="I116" s="559"/>
      <c r="J116" s="291" t="str">
        <f>FHD_NOTE_P_76</f>
        <v/>
      </c>
      <c r="K116" s="736"/>
      <c r="L116" s="737"/>
      <c r="M116" s="737"/>
      <c r="N116" s="912"/>
      <c r="O116" s="912"/>
      <c r="P116" s="912"/>
      <c r="Q116" s="912"/>
      <c r="R116" s="737"/>
      <c r="S116" s="912"/>
      <c r="T116" s="912"/>
      <c r="U116" s="738"/>
      <c r="V116" s="912"/>
      <c r="W116" s="912"/>
      <c r="X116" s="912"/>
      <c r="Y116" s="912"/>
      <c r="Z116" s="912"/>
      <c r="AA116" s="739"/>
      <c r="AB116" s="739"/>
      <c r="AC116" s="739"/>
      <c r="AD116" s="739"/>
      <c r="AE116" s="739"/>
      <c r="AF116" s="741">
        <v>0</v>
      </c>
    </row>
    <row s="1637" customFormat="1" customHeight="1" ht="18.75" hidden="1">
      <c r="A117" s="2375"/>
      <c r="B117" s="912"/>
      <c r="C117" s="737"/>
      <c r="D117" s="735"/>
      <c r="E117" s="548" t="str">
        <f>FHD_NUM_P_77</f>
        <v/>
      </c>
      <c r="F117" s="1882" t="str">
        <f>FHD_P_77</f>
        <v/>
      </c>
      <c r="G117" s="1878" t="s">
        <v>558</v>
      </c>
      <c r="H117" s="559"/>
      <c r="I117" s="559"/>
      <c r="J117" s="291" t="str">
        <f>FHD_NOTE_P_77</f>
        <v/>
      </c>
      <c r="K117" s="736"/>
      <c r="L117" s="737"/>
      <c r="M117" s="737"/>
      <c r="N117" s="912"/>
      <c r="O117" s="912"/>
      <c r="P117" s="912"/>
      <c r="Q117" s="912"/>
      <c r="R117" s="737"/>
      <c r="S117" s="912"/>
      <c r="T117" s="912"/>
      <c r="U117" s="738"/>
      <c r="V117" s="912"/>
      <c r="W117" s="912"/>
      <c r="X117" s="912"/>
      <c r="Y117" s="912"/>
      <c r="Z117" s="912"/>
      <c r="AA117" s="739"/>
      <c r="AB117" s="739"/>
      <c r="AC117" s="739"/>
      <c r="AD117" s="739"/>
      <c r="AE117" s="739"/>
      <c r="AF117" s="741">
        <v>0</v>
      </c>
    </row>
    <row s="1644" customFormat="1" customHeight="1" ht="0.75" hidden="1">
      <c r="A118" s="2375"/>
      <c r="D118" s="550"/>
      <c r="E118" s="1015" t="str">
        <f>E117&amp;".0"</f>
        <v>.0</v>
      </c>
      <c r="F118" s="999"/>
      <c r="G118" s="1653"/>
      <c r="H118" s="994"/>
      <c r="I118" s="994"/>
      <c r="J118" s="998"/>
      <c r="AF118" s="1638">
        <v>0</v>
      </c>
    </row>
    <row s="1637" customFormat="1" customHeight="1" ht="15" hidden="1">
      <c r="A119" s="2375"/>
      <c r="B119" s="912"/>
      <c r="C119" s="737"/>
      <c r="D119" s="748"/>
      <c r="E119" s="975"/>
      <c r="F119" s="976" t="s">
        <v>595</v>
      </c>
      <c r="G119" s="749"/>
      <c r="H119" s="750"/>
      <c r="I119" s="750"/>
      <c r="J119" s="1005" t="s">
        <v>596</v>
      </c>
      <c r="K119" s="736"/>
      <c r="L119" s="737"/>
      <c r="M119" s="737"/>
      <c r="N119" s="912"/>
      <c r="O119" s="912"/>
      <c r="P119" s="912"/>
      <c r="Q119" s="912"/>
      <c r="R119" s="737"/>
      <c r="S119" s="912"/>
      <c r="T119" s="912"/>
      <c r="U119" s="738"/>
      <c r="V119" s="912"/>
      <c r="W119" s="912"/>
      <c r="X119" s="912"/>
      <c r="Y119" s="912"/>
      <c r="Z119" s="912"/>
      <c r="AA119" s="739"/>
      <c r="AB119" s="739"/>
      <c r="AC119" s="739"/>
      <c r="AD119" s="739"/>
      <c r="AE119" s="739"/>
      <c r="AF119" s="741">
        <v>0</v>
      </c>
    </row>
    <row customHeight="1" ht="22.5">
      <c r="A120" s="2373" t="s">
        <v>597</v>
      </c>
      <c r="D120" s="1640"/>
      <c r="E120" s="548" t="str">
        <f>FHD_NUM_P_78</f>
        <v>15</v>
      </c>
      <c r="F120" s="1882"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9" t="s">
        <v>560</v>
      </c>
      <c r="H120" s="579"/>
      <c r="I120" s="579"/>
      <c r="J120" s="291" t="str">
        <f>FHD_NOTE_P_78</f>
        <v/>
      </c>
      <c r="K120" s="545"/>
      <c r="AF120" s="1633">
        <v>0</v>
      </c>
    </row>
    <row s="1644" customFormat="1" customHeight="1" ht="0.75">
      <c r="A121" s="2373"/>
      <c r="D121" s="550"/>
      <c r="E121" s="1015" t="str">
        <f>E120&amp;".0"</f>
        <v>15.0</v>
      </c>
      <c r="F121" s="999"/>
      <c r="G121" s="1653"/>
      <c r="H121" s="994"/>
      <c r="I121" s="994"/>
      <c r="J121" s="998"/>
      <c r="AF121" s="1638">
        <v>0</v>
      </c>
    </row>
    <row customHeight="1" ht="15">
      <c r="A122" s="2373"/>
      <c r="D122" s="1635"/>
      <c r="E122" s="572"/>
      <c r="F122" s="1170" t="s">
        <v>586</v>
      </c>
      <c r="G122" s="574"/>
      <c r="H122" s="575"/>
      <c r="I122" s="575"/>
      <c r="J122" s="1006" t="s">
        <v>598</v>
      </c>
      <c r="K122" s="545"/>
      <c r="AF122" s="1633">
        <v>0</v>
      </c>
    </row>
    <row customHeight="1" ht="22.5">
      <c r="A123" s="2373"/>
      <c r="D123" s="1640"/>
      <c r="E123" s="548" t="str">
        <f>FHD_NUM_P_79</f>
        <v>16</v>
      </c>
      <c r="F123" s="1882"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0" t="s">
        <v>562</v>
      </c>
      <c r="H123" s="579"/>
      <c r="I123" s="579"/>
      <c r="J123" s="291"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5"/>
      <c r="AF123" s="1633">
        <v>0</v>
      </c>
    </row>
    <row s="1644" customFormat="1" customHeight="1" ht="0.75">
      <c r="A124" s="2373"/>
      <c r="D124" s="550"/>
      <c r="E124" s="1015" t="str">
        <f>E123&amp;".0"</f>
        <v>16.0</v>
      </c>
      <c r="F124" s="1000"/>
      <c r="G124" s="1653"/>
      <c r="H124" s="994"/>
      <c r="I124" s="994"/>
      <c r="J124" s="998"/>
      <c r="AF124" s="1638">
        <v>0</v>
      </c>
    </row>
    <row customHeight="1" ht="15">
      <c r="A125" s="2373"/>
      <c r="D125" s="1635"/>
      <c r="E125" s="572"/>
      <c r="F125" s="1170" t="s">
        <v>586</v>
      </c>
      <c r="G125" s="574"/>
      <c r="H125" s="575"/>
      <c r="I125" s="575"/>
      <c r="J125" s="1006" t="s">
        <v>599</v>
      </c>
      <c r="K125" s="545"/>
      <c r="AF125" s="1633">
        <v>0</v>
      </c>
    </row>
    <row customHeight="1" ht="22.5">
      <c r="A126" s="2373"/>
      <c r="D126" s="1640"/>
      <c r="E126" s="548" t="str">
        <f>FHD_NUM_P_80</f>
        <v>17</v>
      </c>
      <c r="F126" s="1882"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0" t="s">
        <v>600</v>
      </c>
      <c r="H126" s="559"/>
      <c r="I126" s="559"/>
      <c r="J126" s="291" t="str">
        <f>FHD_NOTE_P_80</f>
        <v>Регулируемыми организациями указывается информация с по договорам, заключенным в рамках осуществления регулируемой деятельности.</v>
      </c>
      <c r="K126" s="545"/>
      <c r="AF126" s="1633">
        <v>0</v>
      </c>
    </row>
    <row customHeight="1" ht="18.75">
      <c r="A127" s="2373"/>
      <c r="D127" s="1640"/>
      <c r="E127" s="548" t="str">
        <f>FHD_NUM_P_81</f>
        <v>18</v>
      </c>
      <c r="F127" s="1882"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0" t="s">
        <v>601</v>
      </c>
      <c r="H127" s="559"/>
      <c r="I127" s="559"/>
      <c r="J127" s="291" t="str">
        <f>FHD_NOTE_P_81</f>
        <v>Регулируемыми организациями указывается информация с по договорам, заключенным в рамках осуществления регулируемой деятельности.</v>
      </c>
      <c r="K127" s="545"/>
      <c r="AF127" s="1633">
        <v>0</v>
      </c>
    </row>
    <row customHeight="1" ht="18.75">
      <c r="A128" s="2373"/>
      <c r="C128" s="1638" t="s">
        <v>588</v>
      </c>
      <c r="D128" s="1640"/>
      <c r="E128" s="548" t="str">
        <f>FHD_NUM_P_82</f>
        <v>19</v>
      </c>
      <c r="F128" s="1882"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0" t="s">
        <v>306</v>
      </c>
      <c r="H128" s="403"/>
      <c r="I128" s="403"/>
      <c r="J128" s="291" t="str">
        <f>FHD_NOTE_P_82</f>
        <v>Указывается ссылка на документ, предварительно загруженный в хранилище файлов ФГИС ЕИАС.</v>
      </c>
      <c r="K128" s="545"/>
      <c r="AF128" s="1633">
        <v>0</v>
      </c>
    </row>
    <row customHeight="1" ht="18.75">
      <c r="A129" s="2373"/>
      <c r="C129" s="1638" t="s">
        <v>588</v>
      </c>
      <c r="D129" s="1640"/>
      <c r="E129" s="548" t="str">
        <f>FHD_NUM_P_83</f>
        <v>19.1</v>
      </c>
      <c r="F129" s="1526" t="str">
        <f>FHD_P_83</f>
        <v>Информация о показателях физического износа объектов теплоснабжения</v>
      </c>
      <c r="G129" s="1880" t="s">
        <v>306</v>
      </c>
      <c r="H129" s="403"/>
      <c r="I129" s="403"/>
      <c r="J129" s="291" t="str">
        <f>FHD_NOTE_P_83</f>
        <v>Указывается ссылка на документ, предварительно загруженный в хранилище файлов ФГИС ЕИАС.</v>
      </c>
      <c r="K129" s="545"/>
      <c r="AF129" s="1633">
        <v>0</v>
      </c>
    </row>
    <row customHeight="1" ht="18.75">
      <c r="A130" s="2373"/>
      <c r="C130" s="1638" t="s">
        <v>588</v>
      </c>
      <c r="D130" s="1640"/>
      <c r="E130" s="548" t="str">
        <f>FHD_NUM_P_84</f>
        <v>19.2</v>
      </c>
      <c r="F130" s="1526" t="str">
        <f>FHD_P_84</f>
        <v>Информация о показателях энергетической эффективности объектов теплоснабжения</v>
      </c>
      <c r="G130" s="1880" t="s">
        <v>306</v>
      </c>
      <c r="H130" s="403"/>
      <c r="I130" s="403"/>
      <c r="J130" s="291" t="str">
        <f>FHD_NOTE_P_84</f>
        <v>Указывается ссылка на документ, предварительно загруженный в хранилище файлов ФГИС ЕИАС.</v>
      </c>
      <c r="K130" s="545"/>
      <c r="AF130" s="1633">
        <v>0</v>
      </c>
    </row>
    <row customHeight="1" ht="11.549999999999999">
      <c r="D131" s="1640"/>
      <c r="AF131" s="1633">
        <v>11</v>
      </c>
    </row>
    <row customHeight="1" ht="13.5">
      <c r="D132" s="1640"/>
      <c r="E132" s="338"/>
      <c r="F132" s="371"/>
      <c r="G132" s="371"/>
      <c r="H132" s="371"/>
      <c r="I132" s="1649"/>
      <c r="J132" s="583"/>
      <c r="AF132" s="1633">
        <v>13</v>
      </c>
    </row>
    <row s="1643" customFormat="1" customHeight="1" ht="11.549999999999999">
      <c r="A133" s="989"/>
      <c r="B133" s="1638"/>
      <c r="C133" s="1638"/>
      <c r="D133" s="353"/>
      <c r="F133" s="1642"/>
      <c r="G133" s="1633"/>
      <c r="H133" s="1633"/>
      <c r="I133" s="163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H136" s="568" t="str">
        <f>IF(H30-H31&lt;&gt;H72,"WARNING","")</f>
        <v/>
      </c>
      <c r="I136" s="568" t="str">
        <f>IF(I30-I31&lt;&gt;I72,"WARNING","")</f>
        <v/>
      </c>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s="1643" customFormat="1" customHeight="1" ht="11.549999999999999">
      <c r="A203" s="989"/>
      <c r="B203" s="1638"/>
      <c r="C203" s="1638"/>
      <c r="D203" s="353"/>
      <c r="K203" s="1162"/>
      <c r="L203" s="1638"/>
      <c r="M203" s="1638"/>
      <c r="N203" s="1162"/>
      <c r="O203" s="1162"/>
      <c r="P203" s="1162"/>
      <c r="Q203" s="1162"/>
      <c r="R203" s="1638"/>
      <c r="S203" s="1162"/>
      <c r="T203" s="1162"/>
      <c r="U203" s="546"/>
      <c r="V203" s="1162"/>
      <c r="W203" s="1162"/>
      <c r="X203" s="1162"/>
      <c r="Y203" s="1162"/>
      <c r="Z203" s="1162"/>
      <c r="AA203" s="1634"/>
      <c r="AB203" s="568"/>
      <c r="AC203" s="568"/>
      <c r="AD203" s="568"/>
      <c r="AE203" s="568"/>
      <c r="AF203" s="1643">
        <v>11</v>
      </c>
    </row>
    <row s="1643" customFormat="1" customHeight="1" ht="11.549999999999999">
      <c r="A204" s="989"/>
      <c r="B204" s="1638"/>
      <c r="C204" s="1638"/>
      <c r="D204" s="353"/>
      <c r="K204" s="1162"/>
      <c r="L204" s="1638"/>
      <c r="M204" s="1638"/>
      <c r="N204" s="1162"/>
      <c r="O204" s="1162"/>
      <c r="P204" s="1162"/>
      <c r="Q204" s="1162"/>
      <c r="R204" s="1638"/>
      <c r="S204" s="1162"/>
      <c r="T204" s="1162"/>
      <c r="U204" s="546"/>
      <c r="V204" s="1162"/>
      <c r="W204" s="1162"/>
      <c r="X204" s="1162"/>
      <c r="Y204" s="1162"/>
      <c r="Z204" s="1162"/>
      <c r="AA204" s="1634"/>
      <c r="AB204" s="568"/>
      <c r="AC204" s="568"/>
      <c r="AD204" s="568"/>
      <c r="AE204" s="568"/>
      <c r="AF204" s="1643">
        <v>11</v>
      </c>
    </row>
    <row s="1643" customFormat="1" customHeight="1" ht="11.549999999999999">
      <c r="A205" s="989"/>
      <c r="B205" s="1638"/>
      <c r="C205" s="1638"/>
      <c r="D205" s="353"/>
      <c r="K205" s="1162"/>
      <c r="L205" s="1638"/>
      <c r="M205" s="1638"/>
      <c r="N205" s="1162"/>
      <c r="O205" s="1162"/>
      <c r="P205" s="1162"/>
      <c r="Q205" s="1162"/>
      <c r="R205" s="1638"/>
      <c r="S205" s="1162"/>
      <c r="T205" s="1162"/>
      <c r="U205" s="546"/>
      <c r="V205" s="1162"/>
      <c r="W205" s="1162"/>
      <c r="X205" s="1162"/>
      <c r="Y205" s="1162"/>
      <c r="Z205" s="1162"/>
      <c r="AA205" s="1634"/>
      <c r="AB205" s="568"/>
      <c r="AC205" s="568"/>
      <c r="AD205" s="568"/>
      <c r="AE205" s="568"/>
      <c r="AF205" s="1643">
        <v>11</v>
      </c>
    </row>
    <row s="1643" customFormat="1" customHeight="1" ht="11.549999999999999">
      <c r="A206" s="989"/>
      <c r="B206" s="1638"/>
      <c r="C206" s="1638"/>
      <c r="D206" s="353"/>
      <c r="K206" s="1162"/>
      <c r="L206" s="1638"/>
      <c r="M206" s="1638"/>
      <c r="N206" s="1162"/>
      <c r="O206" s="1162"/>
      <c r="P206" s="1162"/>
      <c r="Q206" s="1162"/>
      <c r="R206" s="1638"/>
      <c r="S206" s="1162"/>
      <c r="T206" s="1162"/>
      <c r="U206" s="546"/>
      <c r="V206" s="1162"/>
      <c r="W206" s="1162"/>
      <c r="X206" s="1162"/>
      <c r="Y206" s="1162"/>
      <c r="Z206" s="1162"/>
      <c r="AA206" s="1634"/>
      <c r="AB206" s="568"/>
      <c r="AC206" s="568"/>
      <c r="AD206" s="568"/>
      <c r="AE206" s="568"/>
      <c r="AF206" s="1643">
        <v>11</v>
      </c>
    </row>
    <row s="1643" customFormat="1" customHeight="1" ht="11.549999999999999">
      <c r="A207" s="989"/>
      <c r="B207" s="1638"/>
      <c r="C207" s="1638"/>
      <c r="D207" s="353"/>
      <c r="K207" s="1162"/>
      <c r="L207" s="1638"/>
      <c r="M207" s="1638"/>
      <c r="N207" s="1162"/>
      <c r="O207" s="1162"/>
      <c r="P207" s="1162"/>
      <c r="Q207" s="1162"/>
      <c r="R207" s="1638"/>
      <c r="S207" s="1162"/>
      <c r="T207" s="1162"/>
      <c r="U207" s="546"/>
      <c r="V207" s="1162"/>
      <c r="W207" s="1162"/>
      <c r="X207" s="1162"/>
      <c r="Y207" s="1162"/>
      <c r="Z207" s="1162"/>
      <c r="AA207" s="1634"/>
      <c r="AB207" s="568"/>
      <c r="AC207" s="568"/>
      <c r="AD207" s="568"/>
      <c r="AE207" s="568"/>
      <c r="AF207" s="1643">
        <v>11</v>
      </c>
    </row>
    <row s="1643" customFormat="1" customHeight="1" ht="11.549999999999999">
      <c r="A208" s="989"/>
      <c r="B208" s="1638"/>
      <c r="C208" s="1638"/>
      <c r="D208" s="353"/>
      <c r="K208" s="1162"/>
      <c r="L208" s="1638"/>
      <c r="M208" s="1638"/>
      <c r="N208" s="1162"/>
      <c r="O208" s="1162"/>
      <c r="P208" s="1162"/>
      <c r="Q208" s="1162"/>
      <c r="R208" s="1638"/>
      <c r="S208" s="1162"/>
      <c r="T208" s="1162"/>
      <c r="U208" s="546"/>
      <c r="V208" s="1162"/>
      <c r="W208" s="1162"/>
      <c r="X208" s="1162"/>
      <c r="Y208" s="1162"/>
      <c r="Z208" s="1162"/>
      <c r="AA208" s="1634"/>
      <c r="AB208" s="568"/>
      <c r="AC208" s="568"/>
      <c r="AD208" s="568"/>
      <c r="AE208" s="568"/>
      <c r="AF208" s="1643">
        <v>11</v>
      </c>
    </row>
    <row s="1643" customFormat="1" customHeight="1" ht="11.549999999999999">
      <c r="A209" s="989"/>
      <c r="B209" s="1638"/>
      <c r="C209" s="1638"/>
      <c r="D209" s="353"/>
      <c r="K209" s="1162"/>
      <c r="L209" s="1638"/>
      <c r="M209" s="1638"/>
      <c r="N209" s="1162"/>
      <c r="O209" s="1162"/>
      <c r="P209" s="1162"/>
      <c r="Q209" s="1162"/>
      <c r="R209" s="1638"/>
      <c r="S209" s="1162"/>
      <c r="T209" s="1162"/>
      <c r="U209" s="546"/>
      <c r="V209" s="1162"/>
      <c r="W209" s="1162"/>
      <c r="X209" s="1162"/>
      <c r="Y209" s="1162"/>
      <c r="Z209" s="1162"/>
      <c r="AA209" s="1634"/>
      <c r="AB209" s="568"/>
      <c r="AC209" s="568"/>
      <c r="AD209" s="568"/>
      <c r="AE209" s="568"/>
      <c r="AF209" s="1643">
        <v>11</v>
      </c>
    </row>
    <row s="1643" customFormat="1" customHeight="1" ht="11.549999999999999">
      <c r="A210" s="989"/>
      <c r="B210" s="1638"/>
      <c r="C210" s="1638"/>
      <c r="D210" s="353"/>
      <c r="K210" s="1162"/>
      <c r="L210" s="1638"/>
      <c r="M210" s="1638"/>
      <c r="N210" s="1162"/>
      <c r="O210" s="1162"/>
      <c r="P210" s="1162"/>
      <c r="Q210" s="1162"/>
      <c r="R210" s="1638"/>
      <c r="S210" s="1162"/>
      <c r="T210" s="1162"/>
      <c r="U210" s="546"/>
      <c r="V210" s="1162"/>
      <c r="W210" s="1162"/>
      <c r="X210" s="1162"/>
      <c r="Y210" s="1162"/>
      <c r="Z210" s="1162"/>
      <c r="AA210" s="1634"/>
      <c r="AB210" s="568"/>
      <c r="AC210" s="568"/>
      <c r="AD210" s="568"/>
      <c r="AE210" s="568"/>
      <c r="AF210" s="1643">
        <v>11</v>
      </c>
    </row>
    <row s="1643" customFormat="1" customHeight="1" ht="11.549999999999999">
      <c r="A211" s="989"/>
      <c r="B211" s="1638"/>
      <c r="C211" s="1638"/>
      <c r="D211" s="353"/>
      <c r="K211" s="1162"/>
      <c r="L211" s="1638"/>
      <c r="M211" s="1638"/>
      <c r="N211" s="1162"/>
      <c r="O211" s="1162"/>
      <c r="P211" s="1162"/>
      <c r="Q211" s="1162"/>
      <c r="R211" s="1638"/>
      <c r="S211" s="1162"/>
      <c r="T211" s="1162"/>
      <c r="U211" s="546"/>
      <c r="V211" s="1162"/>
      <c r="W211" s="1162"/>
      <c r="X211" s="1162"/>
      <c r="Y211" s="1162"/>
      <c r="Z211" s="1162"/>
      <c r="AA211" s="1634"/>
      <c r="AB211" s="568"/>
      <c r="AC211" s="568"/>
      <c r="AD211" s="568"/>
      <c r="AE211" s="568"/>
      <c r="AF211" s="1643">
        <v>11</v>
      </c>
    </row>
    <row s="1643" customFormat="1" customHeight="1" ht="11.549999999999999">
      <c r="A212" s="989"/>
      <c r="B212" s="1638"/>
      <c r="C212" s="1638"/>
      <c r="D212" s="353"/>
      <c r="K212" s="1162"/>
      <c r="L212" s="1638"/>
      <c r="M212" s="1638"/>
      <c r="N212" s="1162"/>
      <c r="O212" s="1162"/>
      <c r="P212" s="1162"/>
      <c r="Q212" s="1162"/>
      <c r="R212" s="1638"/>
      <c r="S212" s="1162"/>
      <c r="T212" s="1162"/>
      <c r="U212" s="546"/>
      <c r="V212" s="1162"/>
      <c r="W212" s="1162"/>
      <c r="X212" s="1162"/>
      <c r="Y212" s="1162"/>
      <c r="Z212" s="1162"/>
      <c r="AA212" s="1634"/>
      <c r="AB212" s="568"/>
      <c r="AC212" s="568"/>
      <c r="AD212" s="568"/>
      <c r="AE212" s="568"/>
      <c r="AF212" s="1643">
        <v>11</v>
      </c>
    </row>
    <row s="1643" customFormat="1" customHeight="1" ht="11.549999999999999">
      <c r="A213" s="989"/>
      <c r="B213" s="1638"/>
      <c r="C213" s="1638"/>
      <c r="D213" s="353"/>
      <c r="K213" s="1162"/>
      <c r="L213" s="1638"/>
      <c r="M213" s="1638"/>
      <c r="N213" s="1162"/>
      <c r="O213" s="1162"/>
      <c r="P213" s="1162"/>
      <c r="Q213" s="1162"/>
      <c r="R213" s="1638"/>
      <c r="S213" s="1162"/>
      <c r="T213" s="1162"/>
      <c r="U213" s="546"/>
      <c r="V213" s="1162"/>
      <c r="W213" s="1162"/>
      <c r="X213" s="1162"/>
      <c r="Y213" s="1162"/>
      <c r="Z213" s="1162"/>
      <c r="AA213" s="1634"/>
      <c r="AB213" s="568"/>
      <c r="AC213" s="568"/>
      <c r="AD213" s="568"/>
      <c r="AE213" s="568"/>
      <c r="AF213" s="1643">
        <v>11</v>
      </c>
    </row>
    <row s="1643" customFormat="1" customHeight="1" ht="11.549999999999999">
      <c r="A214" s="989"/>
      <c r="B214" s="1638"/>
      <c r="C214" s="1638"/>
      <c r="D214" s="353"/>
      <c r="K214" s="1162"/>
      <c r="L214" s="1638"/>
      <c r="M214" s="1638"/>
      <c r="N214" s="1162"/>
      <c r="O214" s="1162"/>
      <c r="P214" s="1162"/>
      <c r="Q214" s="1162"/>
      <c r="R214" s="1638"/>
      <c r="S214" s="1162"/>
      <c r="T214" s="1162"/>
      <c r="U214" s="546"/>
      <c r="V214" s="1162"/>
      <c r="W214" s="1162"/>
      <c r="X214" s="1162"/>
      <c r="Y214" s="1162"/>
      <c r="Z214" s="1162"/>
      <c r="AA214" s="1634"/>
      <c r="AB214" s="568"/>
      <c r="AC214" s="568"/>
      <c r="AD214" s="568"/>
      <c r="AE214" s="568"/>
      <c r="AF214" s="1643">
        <v>11</v>
      </c>
    </row>
    <row s="1643" customFormat="1" customHeight="1" ht="11.549999999999999">
      <c r="A215" s="989"/>
      <c r="B215" s="1638"/>
      <c r="C215" s="1638"/>
      <c r="D215" s="353"/>
      <c r="K215" s="1162"/>
      <c r="L215" s="1638"/>
      <c r="M215" s="1638"/>
      <c r="N215" s="1162"/>
      <c r="O215" s="1162"/>
      <c r="P215" s="1162"/>
      <c r="Q215" s="1162"/>
      <c r="R215" s="1638"/>
      <c r="S215" s="1162"/>
      <c r="T215" s="1162"/>
      <c r="U215" s="546"/>
      <c r="V215" s="1162"/>
      <c r="W215" s="1162"/>
      <c r="X215" s="1162"/>
      <c r="Y215" s="1162"/>
      <c r="Z215" s="1162"/>
      <c r="AA215" s="1634"/>
      <c r="AB215" s="568"/>
      <c r="AC215" s="568"/>
      <c r="AD215" s="568"/>
      <c r="AE215" s="568"/>
      <c r="AF215" s="1643">
        <v>11</v>
      </c>
    </row>
    <row s="1643" customFormat="1" customHeight="1" ht="11.549999999999999">
      <c r="A216" s="989"/>
      <c r="B216" s="1638"/>
      <c r="C216" s="1638"/>
      <c r="D216" s="353"/>
      <c r="K216" s="1162"/>
      <c r="L216" s="1638"/>
      <c r="M216" s="1638"/>
      <c r="N216" s="1162"/>
      <c r="O216" s="1162"/>
      <c r="P216" s="1162"/>
      <c r="Q216" s="1162"/>
      <c r="R216" s="1638"/>
      <c r="S216" s="1162"/>
      <c r="T216" s="1162"/>
      <c r="U216" s="546"/>
      <c r="V216" s="1162"/>
      <c r="W216" s="1162"/>
      <c r="X216" s="1162"/>
      <c r="Y216" s="1162"/>
      <c r="Z216" s="1162"/>
      <c r="AA216" s="1634"/>
      <c r="AB216" s="568"/>
      <c r="AC216" s="568"/>
      <c r="AD216" s="568"/>
      <c r="AE216" s="568"/>
      <c r="AF216" s="1643">
        <v>11</v>
      </c>
    </row>
    <row s="1643" customFormat="1" customHeight="1" ht="11.549999999999999">
      <c r="A217" s="989"/>
      <c r="B217" s="1638"/>
      <c r="C217" s="1638"/>
      <c r="D217" s="353"/>
      <c r="K217" s="1162"/>
      <c r="L217" s="1638"/>
      <c r="M217" s="1638"/>
      <c r="N217" s="1162"/>
      <c r="O217" s="1162"/>
      <c r="P217" s="1162"/>
      <c r="Q217" s="1162"/>
      <c r="R217" s="1638"/>
      <c r="S217" s="1162"/>
      <c r="T217" s="1162"/>
      <c r="U217" s="546"/>
      <c r="V217" s="1162"/>
      <c r="W217" s="1162"/>
      <c r="X217" s="1162"/>
      <c r="Y217" s="1162"/>
      <c r="Z217" s="1162"/>
      <c r="AA217" s="1634"/>
      <c r="AB217" s="568"/>
      <c r="AC217" s="568"/>
      <c r="AD217" s="568"/>
      <c r="AE217" s="568"/>
      <c r="AF217" s="1643">
        <v>11</v>
      </c>
    </row>
    <row s="1643" customFormat="1" customHeight="1" ht="11.549999999999999">
      <c r="A218" s="989"/>
      <c r="B218" s="1638"/>
      <c r="C218" s="1638"/>
      <c r="D218" s="353"/>
      <c r="K218" s="1162"/>
      <c r="L218" s="1638"/>
      <c r="M218" s="1638"/>
      <c r="N218" s="1162"/>
      <c r="O218" s="1162"/>
      <c r="P218" s="1162"/>
      <c r="Q218" s="1162"/>
      <c r="R218" s="1638"/>
      <c r="S218" s="1162"/>
      <c r="T218" s="1162"/>
      <c r="U218" s="546"/>
      <c r="V218" s="1162"/>
      <c r="W218" s="1162"/>
      <c r="X218" s="1162"/>
      <c r="Y218" s="1162"/>
      <c r="Z218" s="1162"/>
      <c r="AA218" s="1634"/>
      <c r="AB218" s="568"/>
      <c r="AC218" s="568"/>
      <c r="AD218" s="568"/>
      <c r="AE218" s="568"/>
      <c r="AF218" s="1643">
        <v>11</v>
      </c>
    </row>
    <row s="1643" customFormat="1" customHeight="1" ht="11.549999999999999">
      <c r="A219" s="989"/>
      <c r="B219" s="1638"/>
      <c r="C219" s="1638"/>
      <c r="D219" s="353"/>
      <c r="K219" s="1162"/>
      <c r="L219" s="1638"/>
      <c r="M219" s="1638"/>
      <c r="N219" s="1162"/>
      <c r="O219" s="1162"/>
      <c r="P219" s="1162"/>
      <c r="Q219" s="1162"/>
      <c r="R219" s="1638"/>
      <c r="S219" s="1162"/>
      <c r="T219" s="1162"/>
      <c r="U219" s="546"/>
      <c r="V219" s="1162"/>
      <c r="W219" s="1162"/>
      <c r="X219" s="1162"/>
      <c r="Y219" s="1162"/>
      <c r="Z219" s="1162"/>
      <c r="AA219" s="1634"/>
      <c r="AB219" s="568"/>
      <c r="AC219" s="568"/>
      <c r="AD219" s="568"/>
      <c r="AE219" s="568"/>
      <c r="AF219" s="1643">
        <v>11</v>
      </c>
    </row>
    <row s="1643" customFormat="1" customHeight="1" ht="11.549999999999999">
      <c r="A220" s="989"/>
      <c r="B220" s="1638"/>
      <c r="C220" s="1638"/>
      <c r="D220" s="353"/>
      <c r="K220" s="1162"/>
      <c r="L220" s="1638"/>
      <c r="M220" s="1638"/>
      <c r="N220" s="1162"/>
      <c r="O220" s="1162"/>
      <c r="P220" s="1162"/>
      <c r="Q220" s="1162"/>
      <c r="R220" s="1638"/>
      <c r="S220" s="1162"/>
      <c r="T220" s="1162"/>
      <c r="U220" s="546"/>
      <c r="V220" s="1162"/>
      <c r="W220" s="1162"/>
      <c r="X220" s="1162"/>
      <c r="Y220" s="1162"/>
      <c r="Z220" s="1162"/>
      <c r="AA220" s="1634"/>
      <c r="AB220" s="568"/>
      <c r="AC220" s="568"/>
      <c r="AD220" s="568"/>
      <c r="AE220" s="568"/>
      <c r="AF220" s="1643">
        <v>11</v>
      </c>
    </row>
    <row s="1643" customFormat="1" customHeight="1" ht="11.549999999999999">
      <c r="A221" s="989"/>
      <c r="B221" s="1638"/>
      <c r="C221" s="1638"/>
      <c r="D221" s="353"/>
      <c r="K221" s="1162"/>
      <c r="L221" s="1638"/>
      <c r="M221" s="1638"/>
      <c r="N221" s="1162"/>
      <c r="O221" s="1162"/>
      <c r="P221" s="1162"/>
      <c r="Q221" s="1162"/>
      <c r="R221" s="1638"/>
      <c r="S221" s="1162"/>
      <c r="T221" s="1162"/>
      <c r="U221" s="546"/>
      <c r="V221" s="1162"/>
      <c r="W221" s="1162"/>
      <c r="X221" s="1162"/>
      <c r="Y221" s="1162"/>
      <c r="Z221" s="1162"/>
      <c r="AA221" s="1634"/>
      <c r="AB221" s="568"/>
      <c r="AC221" s="568"/>
      <c r="AD221" s="568"/>
      <c r="AE221" s="568"/>
      <c r="AF221" s="1643">
        <v>11</v>
      </c>
    </row>
    <row s="1643" customFormat="1" customHeight="1" ht="11.549999999999999">
      <c r="A222" s="989"/>
      <c r="B222" s="1638"/>
      <c r="C222" s="1638"/>
      <c r="D222" s="353"/>
      <c r="K222" s="1162"/>
      <c r="L222" s="1638"/>
      <c r="M222" s="1638"/>
      <c r="N222" s="1162"/>
      <c r="O222" s="1162"/>
      <c r="P222" s="1162"/>
      <c r="Q222" s="1162"/>
      <c r="R222" s="1638"/>
      <c r="S222" s="1162"/>
      <c r="T222" s="1162"/>
      <c r="U222" s="546"/>
      <c r="V222" s="1162"/>
      <c r="W222" s="1162"/>
      <c r="X222" s="1162"/>
      <c r="Y222" s="1162"/>
      <c r="Z222" s="1162"/>
      <c r="AA222" s="1634"/>
      <c r="AB222" s="568"/>
      <c r="AC222" s="568"/>
      <c r="AD222" s="568"/>
      <c r="AE222" s="568"/>
      <c r="AF222" s="1643">
        <v>11</v>
      </c>
    </row>
    <row s="1643" customFormat="1" customHeight="1" ht="11.549999999999999">
      <c r="A223" s="989"/>
      <c r="B223" s="1638"/>
      <c r="C223" s="1638"/>
      <c r="D223" s="353"/>
      <c r="K223" s="1162"/>
      <c r="L223" s="1638"/>
      <c r="M223" s="1638"/>
      <c r="N223" s="1162"/>
      <c r="O223" s="1162"/>
      <c r="P223" s="1162"/>
      <c r="Q223" s="1162"/>
      <c r="R223" s="1638"/>
      <c r="S223" s="1162"/>
      <c r="T223" s="1162"/>
      <c r="U223" s="546"/>
      <c r="V223" s="1162"/>
      <c r="W223" s="1162"/>
      <c r="X223" s="1162"/>
      <c r="Y223" s="1162"/>
      <c r="Z223" s="1162"/>
      <c r="AA223" s="1634"/>
      <c r="AB223" s="568"/>
      <c r="AC223" s="568"/>
      <c r="AD223" s="568"/>
      <c r="AE223" s="568"/>
      <c r="AF223" s="1643">
        <v>11</v>
      </c>
    </row>
    <row s="1643" customFormat="1" customHeight="1" ht="11.549999999999999">
      <c r="A224" s="989"/>
      <c r="B224" s="1638"/>
      <c r="C224" s="1638"/>
      <c r="D224" s="353"/>
      <c r="K224" s="1162"/>
      <c r="L224" s="1638"/>
      <c r="M224" s="1638"/>
      <c r="N224" s="1162"/>
      <c r="O224" s="1162"/>
      <c r="P224" s="1162"/>
      <c r="Q224" s="1162"/>
      <c r="R224" s="1638"/>
      <c r="S224" s="1162"/>
      <c r="T224" s="1162"/>
      <c r="U224" s="546"/>
      <c r="V224" s="1162"/>
      <c r="W224" s="1162"/>
      <c r="X224" s="1162"/>
      <c r="Y224" s="1162"/>
      <c r="Z224" s="1162"/>
      <c r="AA224" s="1634"/>
      <c r="AB224" s="568"/>
      <c r="AC224" s="568"/>
      <c r="AD224" s="568"/>
      <c r="AE224" s="568"/>
      <c r="AF224" s="1643">
        <v>11</v>
      </c>
    </row>
    <row s="1643" customFormat="1" customHeight="1" ht="11.549999999999999">
      <c r="A225" s="989"/>
      <c r="B225" s="1638"/>
      <c r="C225" s="1638"/>
      <c r="D225" s="353"/>
      <c r="K225" s="1162"/>
      <c r="L225" s="1638"/>
      <c r="M225" s="1638"/>
      <c r="N225" s="1162"/>
      <c r="O225" s="1162"/>
      <c r="P225" s="1162"/>
      <c r="Q225" s="1162"/>
      <c r="R225" s="1638"/>
      <c r="S225" s="1162"/>
      <c r="T225" s="1162"/>
      <c r="U225" s="546"/>
      <c r="V225" s="1162"/>
      <c r="W225" s="1162"/>
      <c r="X225" s="1162"/>
      <c r="Y225" s="1162"/>
      <c r="Z225" s="1162"/>
      <c r="AA225" s="1634"/>
      <c r="AB225" s="568"/>
      <c r="AC225" s="568"/>
      <c r="AD225" s="568"/>
      <c r="AE225" s="568"/>
      <c r="AF225" s="1643">
        <v>11</v>
      </c>
    </row>
    <row s="1643" customFormat="1" customHeight="1" ht="11.549999999999999">
      <c r="A226" s="989"/>
      <c r="B226" s="1638"/>
      <c r="C226" s="1638"/>
      <c r="D226" s="353"/>
      <c r="K226" s="1162"/>
      <c r="L226" s="1638"/>
      <c r="M226" s="1638"/>
      <c r="N226" s="1162"/>
      <c r="O226" s="1162"/>
      <c r="P226" s="1162"/>
      <c r="Q226" s="1162"/>
      <c r="R226" s="1638"/>
      <c r="S226" s="1162"/>
      <c r="T226" s="1162"/>
      <c r="U226" s="546"/>
      <c r="V226" s="1162"/>
      <c r="W226" s="1162"/>
      <c r="X226" s="1162"/>
      <c r="Y226" s="1162"/>
      <c r="Z226" s="1162"/>
      <c r="AA226" s="1634"/>
      <c r="AB226" s="568"/>
      <c r="AC226" s="568"/>
      <c r="AD226" s="568"/>
      <c r="AE226" s="568"/>
      <c r="AF226" s="1643">
        <v>11</v>
      </c>
    </row>
    <row s="1643" customFormat="1" customHeight="1" ht="11.549999999999999">
      <c r="A227" s="989"/>
      <c r="B227" s="1638"/>
      <c r="C227" s="1638"/>
      <c r="D227" s="353"/>
      <c r="K227" s="1162"/>
      <c r="L227" s="1638"/>
      <c r="M227" s="1638"/>
      <c r="N227" s="1162"/>
      <c r="O227" s="1162"/>
      <c r="P227" s="1162"/>
      <c r="Q227" s="1162"/>
      <c r="R227" s="1638"/>
      <c r="S227" s="1162"/>
      <c r="T227" s="1162"/>
      <c r="U227" s="546"/>
      <c r="V227" s="1162"/>
      <c r="W227" s="1162"/>
      <c r="X227" s="1162"/>
      <c r="Y227" s="1162"/>
      <c r="Z227" s="1162"/>
      <c r="AA227" s="1634"/>
      <c r="AB227" s="568"/>
      <c r="AC227" s="568"/>
      <c r="AD227" s="568"/>
      <c r="AE227" s="568"/>
      <c r="AF227" s="1643">
        <v>11</v>
      </c>
    </row>
    <row s="1643" customFormat="1" customHeight="1" ht="11.549999999999999">
      <c r="A228" s="989"/>
      <c r="B228" s="1638"/>
      <c r="C228" s="1638"/>
      <c r="D228" s="353"/>
      <c r="K228" s="1162"/>
      <c r="L228" s="1638"/>
      <c r="M228" s="1638"/>
      <c r="N228" s="1162"/>
      <c r="O228" s="1162"/>
      <c r="P228" s="1162"/>
      <c r="Q228" s="1162"/>
      <c r="R228" s="1638"/>
      <c r="S228" s="1162"/>
      <c r="T228" s="1162"/>
      <c r="U228" s="546"/>
      <c r="V228" s="1162"/>
      <c r="W228" s="1162"/>
      <c r="X228" s="1162"/>
      <c r="Y228" s="1162"/>
      <c r="Z228" s="1162"/>
      <c r="AA228" s="1634"/>
      <c r="AB228" s="568"/>
      <c r="AC228" s="568"/>
      <c r="AD228" s="568"/>
      <c r="AE228" s="568"/>
      <c r="AF228" s="1643">
        <v>11</v>
      </c>
    </row>
    <row s="1643" customFormat="1" customHeight="1" ht="11.549999999999999">
      <c r="A229" s="989"/>
      <c r="B229" s="1638"/>
      <c r="C229" s="1638"/>
      <c r="D229" s="353"/>
      <c r="K229" s="1162"/>
      <c r="L229" s="1638"/>
      <c r="M229" s="1638"/>
      <c r="N229" s="1162"/>
      <c r="O229" s="1162"/>
      <c r="P229" s="1162"/>
      <c r="Q229" s="1162"/>
      <c r="R229" s="1638"/>
      <c r="S229" s="1162"/>
      <c r="T229" s="1162"/>
      <c r="U229" s="546"/>
      <c r="V229" s="1162"/>
      <c r="W229" s="1162"/>
      <c r="X229" s="1162"/>
      <c r="Y229" s="1162"/>
      <c r="Z229" s="1162"/>
      <c r="AA229" s="1634"/>
      <c r="AB229" s="568"/>
      <c r="AC229" s="568"/>
      <c r="AD229" s="568"/>
      <c r="AE229" s="568"/>
      <c r="AF229" s="1643">
        <v>11</v>
      </c>
    </row>
    <row s="1643" customFormat="1" customHeight="1" ht="11.549999999999999">
      <c r="A230" s="989"/>
      <c r="B230" s="1638"/>
      <c r="C230" s="1638"/>
      <c r="D230" s="353"/>
      <c r="K230" s="1162"/>
      <c r="L230" s="1638"/>
      <c r="M230" s="1638"/>
      <c r="N230" s="1162"/>
      <c r="O230" s="1162"/>
      <c r="P230" s="1162"/>
      <c r="Q230" s="1162"/>
      <c r="R230" s="1638"/>
      <c r="S230" s="1162"/>
      <c r="T230" s="1162"/>
      <c r="U230" s="546"/>
      <c r="V230" s="1162"/>
      <c r="W230" s="1162"/>
      <c r="X230" s="1162"/>
      <c r="Y230" s="1162"/>
      <c r="Z230" s="1162"/>
      <c r="AA230" s="1634"/>
      <c r="AB230" s="568"/>
      <c r="AC230" s="568"/>
      <c r="AD230" s="568"/>
      <c r="AE230" s="568"/>
      <c r="AF230" s="1643">
        <v>11</v>
      </c>
    </row>
    <row s="1643" customFormat="1" customHeight="1" ht="11.549999999999999">
      <c r="A231" s="989"/>
      <c r="B231" s="1638"/>
      <c r="C231" s="1638"/>
      <c r="D231" s="353"/>
      <c r="K231" s="1162"/>
      <c r="L231" s="1638"/>
      <c r="M231" s="1638"/>
      <c r="N231" s="1162"/>
      <c r="O231" s="1162"/>
      <c r="P231" s="1162"/>
      <c r="Q231" s="1162"/>
      <c r="R231" s="1638"/>
      <c r="S231" s="1162"/>
      <c r="T231" s="1162"/>
      <c r="U231" s="546"/>
      <c r="V231" s="1162"/>
      <c r="W231" s="1162"/>
      <c r="X231" s="1162"/>
      <c r="Y231" s="1162"/>
      <c r="Z231" s="1162"/>
      <c r="AA231" s="1634"/>
      <c r="AB231" s="568"/>
      <c r="AC231" s="568"/>
      <c r="AD231" s="568"/>
      <c r="AE231" s="568"/>
      <c r="AF231" s="1643">
        <v>11</v>
      </c>
    </row>
    <row s="1643" customFormat="1" customHeight="1" ht="11.549999999999999">
      <c r="A232" s="989"/>
      <c r="B232" s="1638"/>
      <c r="C232" s="1638"/>
      <c r="D232" s="353"/>
      <c r="K232" s="1162"/>
      <c r="L232" s="1638"/>
      <c r="M232" s="1638"/>
      <c r="N232" s="1162"/>
      <c r="O232" s="1162"/>
      <c r="P232" s="1162"/>
      <c r="Q232" s="1162"/>
      <c r="R232" s="1638"/>
      <c r="S232" s="1162"/>
      <c r="T232" s="1162"/>
      <c r="U232" s="546"/>
      <c r="V232" s="1162"/>
      <c r="W232" s="1162"/>
      <c r="X232" s="1162"/>
      <c r="Y232" s="1162"/>
      <c r="Z232" s="1162"/>
      <c r="AA232" s="1634"/>
      <c r="AB232" s="568"/>
      <c r="AC232" s="568"/>
      <c r="AD232" s="568"/>
      <c r="AE232" s="568"/>
      <c r="AF232" s="1643">
        <v>11</v>
      </c>
    </row>
    <row s="1643" customFormat="1" customHeight="1" ht="11.549999999999999">
      <c r="A233" s="989"/>
      <c r="B233" s="1638"/>
      <c r="C233" s="1638"/>
      <c r="D233" s="353"/>
      <c r="K233" s="1162"/>
      <c r="L233" s="1638"/>
      <c r="M233" s="1638"/>
      <c r="N233" s="1162"/>
      <c r="O233" s="1162"/>
      <c r="P233" s="1162"/>
      <c r="Q233" s="1162"/>
      <c r="R233" s="1638"/>
      <c r="S233" s="1162"/>
      <c r="T233" s="1162"/>
      <c r="U233" s="546"/>
      <c r="V233" s="1162"/>
      <c r="W233" s="1162"/>
      <c r="X233" s="1162"/>
      <c r="Y233" s="1162"/>
      <c r="Z233" s="1162"/>
      <c r="AA233" s="1634"/>
      <c r="AB233" s="568"/>
      <c r="AC233" s="568"/>
      <c r="AD233" s="568"/>
      <c r="AE233" s="568"/>
      <c r="AF233" s="1643">
        <v>11</v>
      </c>
    </row>
    <row s="1643" customFormat="1" customHeight="1" ht="11.549999999999999">
      <c r="A234" s="989"/>
      <c r="B234" s="1638"/>
      <c r="C234" s="1638"/>
      <c r="D234" s="353"/>
      <c r="K234" s="1162"/>
      <c r="L234" s="1638"/>
      <c r="M234" s="1638"/>
      <c r="N234" s="1162"/>
      <c r="O234" s="1162"/>
      <c r="P234" s="1162"/>
      <c r="Q234" s="1162"/>
      <c r="R234" s="1638"/>
      <c r="S234" s="1162"/>
      <c r="T234" s="1162"/>
      <c r="U234" s="546"/>
      <c r="V234" s="1162"/>
      <c r="W234" s="1162"/>
      <c r="X234" s="1162"/>
      <c r="Y234" s="1162"/>
      <c r="Z234" s="1162"/>
      <c r="AA234" s="1634"/>
      <c r="AB234" s="568"/>
      <c r="AC234" s="568"/>
      <c r="AD234" s="568"/>
      <c r="AE234" s="568"/>
      <c r="AF234" s="1643">
        <v>11</v>
      </c>
    </row>
    <row s="1643" customFormat="1" customHeight="1" ht="11.549999999999999">
      <c r="A235" s="989"/>
      <c r="B235" s="1638"/>
      <c r="C235" s="1638"/>
      <c r="D235" s="353"/>
      <c r="K235" s="1162"/>
      <c r="L235" s="1638"/>
      <c r="M235" s="1638"/>
      <c r="N235" s="1162"/>
      <c r="O235" s="1162"/>
      <c r="P235" s="1162"/>
      <c r="Q235" s="1162"/>
      <c r="R235" s="1638"/>
      <c r="S235" s="1162"/>
      <c r="T235" s="1162"/>
      <c r="U235" s="546"/>
      <c r="V235" s="1162"/>
      <c r="W235" s="1162"/>
      <c r="X235" s="1162"/>
      <c r="Y235" s="1162"/>
      <c r="Z235" s="1162"/>
      <c r="AA235" s="1634"/>
      <c r="AB235" s="568"/>
      <c r="AC235" s="568"/>
      <c r="AD235" s="568"/>
      <c r="AE235" s="568"/>
      <c r="AF235" s="1643">
        <v>11</v>
      </c>
    </row>
    <row s="1643" customFormat="1" customHeight="1" ht="11.549999999999999">
      <c r="A236" s="989"/>
      <c r="B236" s="1638"/>
      <c r="C236" s="1638"/>
      <c r="D236" s="353"/>
      <c r="K236" s="1162"/>
      <c r="L236" s="1638"/>
      <c r="M236" s="1638"/>
      <c r="N236" s="1162"/>
      <c r="O236" s="1162"/>
      <c r="P236" s="1162"/>
      <c r="Q236" s="1162"/>
      <c r="R236" s="1638"/>
      <c r="S236" s="1162"/>
      <c r="T236" s="1162"/>
      <c r="U236" s="546"/>
      <c r="V236" s="1162"/>
      <c r="W236" s="1162"/>
      <c r="X236" s="1162"/>
      <c r="Y236" s="1162"/>
      <c r="Z236" s="1162"/>
      <c r="AA236" s="1634"/>
      <c r="AB236" s="568"/>
      <c r="AC236" s="568"/>
      <c r="AD236" s="568"/>
      <c r="AE236" s="568"/>
      <c r="AF236" s="1643">
        <v>11</v>
      </c>
    </row>
    <row s="1643" customFormat="1" customHeight="1" ht="11.549999999999999">
      <c r="A237" s="989"/>
      <c r="B237" s="1638"/>
      <c r="C237" s="1638"/>
      <c r="D237" s="353"/>
      <c r="K237" s="1162"/>
      <c r="L237" s="1638"/>
      <c r="M237" s="1638"/>
      <c r="N237" s="1162"/>
      <c r="O237" s="1162"/>
      <c r="P237" s="1162"/>
      <c r="Q237" s="1162"/>
      <c r="R237" s="1638"/>
      <c r="S237" s="1162"/>
      <c r="T237" s="1162"/>
      <c r="U237" s="546"/>
      <c r="V237" s="1162"/>
      <c r="W237" s="1162"/>
      <c r="X237" s="1162"/>
      <c r="Y237" s="1162"/>
      <c r="Z237" s="1162"/>
      <c r="AA237" s="1634"/>
      <c r="AB237" s="568"/>
      <c r="AC237" s="568"/>
      <c r="AD237" s="568"/>
      <c r="AE237" s="568"/>
      <c r="AF237" s="1643">
        <v>11</v>
      </c>
    </row>
    <row s="1643" customFormat="1" customHeight="1" ht="11.549999999999999">
      <c r="A238" s="989"/>
      <c r="B238" s="1638"/>
      <c r="C238" s="1638"/>
      <c r="D238" s="353"/>
      <c r="K238" s="1162"/>
      <c r="L238" s="1638"/>
      <c r="M238" s="1638"/>
      <c r="N238" s="1162"/>
      <c r="O238" s="1162"/>
      <c r="P238" s="1162"/>
      <c r="Q238" s="1162"/>
      <c r="R238" s="1638"/>
      <c r="S238" s="1162"/>
      <c r="T238" s="1162"/>
      <c r="U238" s="546"/>
      <c r="V238" s="1162"/>
      <c r="W238" s="1162"/>
      <c r="X238" s="1162"/>
      <c r="Y238" s="1162"/>
      <c r="Z238" s="1162"/>
      <c r="AA238" s="1634"/>
      <c r="AB238" s="568"/>
      <c r="AC238" s="568"/>
      <c r="AD238" s="568"/>
      <c r="AE238" s="568"/>
      <c r="AF238" s="1643">
        <v>11</v>
      </c>
    </row>
    <row s="1643" customFormat="1" customHeight="1" ht="11.549999999999999">
      <c r="A239" s="989"/>
      <c r="B239" s="1638"/>
      <c r="C239" s="1638"/>
      <c r="D239" s="353"/>
      <c r="K239" s="1162"/>
      <c r="L239" s="1638"/>
      <c r="M239" s="1638"/>
      <c r="N239" s="1162"/>
      <c r="O239" s="1162"/>
      <c r="P239" s="1162"/>
      <c r="Q239" s="1162"/>
      <c r="R239" s="1638"/>
      <c r="S239" s="1162"/>
      <c r="T239" s="1162"/>
      <c r="U239" s="546"/>
      <c r="V239" s="1162"/>
      <c r="W239" s="1162"/>
      <c r="X239" s="1162"/>
      <c r="Y239" s="1162"/>
      <c r="Z239" s="1162"/>
      <c r="AA239" s="1634"/>
      <c r="AB239" s="568"/>
      <c r="AC239" s="568"/>
      <c r="AD239" s="568"/>
      <c r="AE239" s="568"/>
      <c r="AF239" s="1643">
        <v>11</v>
      </c>
    </row>
    <row s="1643" customFormat="1" customHeight="1" ht="11.549999999999999">
      <c r="A240" s="989"/>
      <c r="B240" s="1638"/>
      <c r="C240" s="1638"/>
      <c r="D240" s="353"/>
      <c r="K240" s="1162"/>
      <c r="L240" s="1638"/>
      <c r="M240" s="1638"/>
      <c r="N240" s="1162"/>
      <c r="O240" s="1162"/>
      <c r="P240" s="1162"/>
      <c r="Q240" s="1162"/>
      <c r="R240" s="1638"/>
      <c r="S240" s="1162"/>
      <c r="T240" s="1162"/>
      <c r="U240" s="546"/>
      <c r="V240" s="1162"/>
      <c r="W240" s="1162"/>
      <c r="X240" s="1162"/>
      <c r="Y240" s="1162"/>
      <c r="Z240" s="1162"/>
      <c r="AA240" s="1634"/>
      <c r="AB240" s="568"/>
      <c r="AC240" s="568"/>
      <c r="AD240" s="568"/>
      <c r="AE240" s="568"/>
      <c r="AF240" s="1643">
        <v>11</v>
      </c>
    </row>
    <row s="1643" customFormat="1" customHeight="1" ht="11.549999999999999">
      <c r="A241" s="989"/>
      <c r="B241" s="1638"/>
      <c r="C241" s="1638"/>
      <c r="D241" s="353"/>
      <c r="K241" s="1162"/>
      <c r="L241" s="1638"/>
      <c r="M241" s="1638"/>
      <c r="N241" s="1162"/>
      <c r="O241" s="1162"/>
      <c r="P241" s="1162"/>
      <c r="Q241" s="1162"/>
      <c r="R241" s="1638"/>
      <c r="S241" s="1162"/>
      <c r="T241" s="1162"/>
      <c r="U241" s="546"/>
      <c r="V241" s="1162"/>
      <c r="W241" s="1162"/>
      <c r="X241" s="1162"/>
      <c r="Y241" s="1162"/>
      <c r="Z241" s="1162"/>
      <c r="AA241" s="1634"/>
      <c r="AB241" s="568"/>
      <c r="AC241" s="568"/>
      <c r="AD241" s="568"/>
      <c r="AE241" s="568"/>
      <c r="AF241" s="1643">
        <v>11</v>
      </c>
    </row>
    <row s="1643" customFormat="1" customHeight="1" ht="11.549999999999999">
      <c r="A242" s="989"/>
      <c r="B242" s="1638"/>
      <c r="C242" s="1638"/>
      <c r="D242" s="353"/>
      <c r="K242" s="1162"/>
      <c r="L242" s="1638"/>
      <c r="M242" s="1638"/>
      <c r="N242" s="1162"/>
      <c r="O242" s="1162"/>
      <c r="P242" s="1162"/>
      <c r="Q242" s="1162"/>
      <c r="R242" s="1638"/>
      <c r="S242" s="1162"/>
      <c r="T242" s="1162"/>
      <c r="U242" s="546"/>
      <c r="V242" s="1162"/>
      <c r="W242" s="1162"/>
      <c r="X242" s="1162"/>
      <c r="Y242" s="1162"/>
      <c r="Z242" s="1162"/>
      <c r="AA242" s="1634"/>
      <c r="AB242" s="568"/>
      <c r="AC242" s="568"/>
      <c r="AD242" s="568"/>
      <c r="AE242" s="568"/>
      <c r="AF242" s="1643">
        <v>11</v>
      </c>
    </row>
    <row s="1643" customFormat="1" customHeight="1" ht="11.549999999999999">
      <c r="A243" s="989"/>
      <c r="B243" s="1638"/>
      <c r="C243" s="1638"/>
      <c r="D243" s="353"/>
      <c r="K243" s="1162"/>
      <c r="L243" s="1638"/>
      <c r="M243" s="1638"/>
      <c r="N243" s="1162"/>
      <c r="O243" s="1162"/>
      <c r="P243" s="1162"/>
      <c r="Q243" s="1162"/>
      <c r="R243" s="1638"/>
      <c r="S243" s="1162"/>
      <c r="T243" s="1162"/>
      <c r="U243" s="546"/>
      <c r="V243" s="1162"/>
      <c r="W243" s="1162"/>
      <c r="X243" s="1162"/>
      <c r="Y243" s="1162"/>
      <c r="Z243" s="1162"/>
      <c r="AA243" s="1634"/>
      <c r="AB243" s="568"/>
      <c r="AC243" s="568"/>
      <c r="AD243" s="568"/>
      <c r="AE243" s="568"/>
      <c r="AF243" s="1643">
        <v>11</v>
      </c>
    </row>
    <row s="1643" customFormat="1" customHeight="1" ht="11.549999999999999">
      <c r="A244" s="989"/>
      <c r="B244" s="1638"/>
      <c r="C244" s="1638"/>
      <c r="D244" s="353"/>
      <c r="K244" s="1162"/>
      <c r="L244" s="1638"/>
      <c r="M244" s="1638"/>
      <c r="N244" s="1162"/>
      <c r="O244" s="1162"/>
      <c r="P244" s="1162"/>
      <c r="Q244" s="1162"/>
      <c r="R244" s="1638"/>
      <c r="S244" s="1162"/>
      <c r="T244" s="1162"/>
      <c r="U244" s="546"/>
      <c r="V244" s="1162"/>
      <c r="W244" s="1162"/>
      <c r="X244" s="1162"/>
      <c r="Y244" s="1162"/>
      <c r="Z244" s="1162"/>
      <c r="AA244" s="1634"/>
      <c r="AB244" s="568"/>
      <c r="AC244" s="568"/>
      <c r="AD244" s="568"/>
      <c r="AE244" s="568"/>
      <c r="AF244" s="1643">
        <v>11</v>
      </c>
    </row>
    <row s="1643" customFormat="1" customHeight="1" ht="11.549999999999999">
      <c r="A245" s="989"/>
      <c r="B245" s="1638"/>
      <c r="C245" s="1638"/>
      <c r="D245" s="353"/>
      <c r="K245" s="1162"/>
      <c r="L245" s="1638"/>
      <c r="M245" s="1638"/>
      <c r="N245" s="1162"/>
      <c r="O245" s="1162"/>
      <c r="P245" s="1162"/>
      <c r="Q245" s="1162"/>
      <c r="R245" s="1638"/>
      <c r="S245" s="1162"/>
      <c r="T245" s="1162"/>
      <c r="U245" s="546"/>
      <c r="V245" s="1162"/>
      <c r="W245" s="1162"/>
      <c r="X245" s="1162"/>
      <c r="Y245" s="1162"/>
      <c r="Z245" s="1162"/>
      <c r="AA245" s="1634"/>
      <c r="AB245" s="568"/>
      <c r="AC245" s="568"/>
      <c r="AD245" s="568"/>
      <c r="AE245" s="568"/>
      <c r="AF245" s="1643">
        <v>11</v>
      </c>
    </row>
    <row s="1643" customFormat="1" customHeight="1" ht="11.549999999999999">
      <c r="A246" s="989"/>
      <c r="B246" s="1638"/>
      <c r="C246" s="1638"/>
      <c r="D246" s="353"/>
      <c r="K246" s="1162"/>
      <c r="L246" s="1638"/>
      <c r="M246" s="1638"/>
      <c r="N246" s="1162"/>
      <c r="O246" s="1162"/>
      <c r="P246" s="1162"/>
      <c r="Q246" s="1162"/>
      <c r="R246" s="1638"/>
      <c r="S246" s="1162"/>
      <c r="T246" s="1162"/>
      <c r="U246" s="546"/>
      <c r="V246" s="1162"/>
      <c r="W246" s="1162"/>
      <c r="X246" s="1162"/>
      <c r="Y246" s="1162"/>
      <c r="Z246" s="1162"/>
      <c r="AA246" s="1634"/>
      <c r="AB246" s="568"/>
      <c r="AC246" s="568"/>
      <c r="AD246" s="568"/>
      <c r="AE246" s="568"/>
      <c r="AF246" s="1643">
        <v>11</v>
      </c>
    </row>
    <row s="1643" customFormat="1" customHeight="1" ht="11.549999999999999">
      <c r="A247" s="989"/>
      <c r="B247" s="1638"/>
      <c r="C247" s="1638"/>
      <c r="D247" s="353"/>
      <c r="K247" s="1162"/>
      <c r="L247" s="1638"/>
      <c r="M247" s="1638"/>
      <c r="N247" s="1162"/>
      <c r="O247" s="1162"/>
      <c r="P247" s="1162"/>
      <c r="Q247" s="1162"/>
      <c r="R247" s="1638"/>
      <c r="S247" s="1162"/>
      <c r="T247" s="1162"/>
      <c r="U247" s="546"/>
      <c r="V247" s="1162"/>
      <c r="W247" s="1162"/>
      <c r="X247" s="1162"/>
      <c r="Y247" s="1162"/>
      <c r="Z247" s="1162"/>
      <c r="AA247" s="1634"/>
      <c r="AB247" s="568"/>
      <c r="AC247" s="568"/>
      <c r="AD247" s="568"/>
      <c r="AE247" s="568"/>
      <c r="AF247" s="1643">
        <v>11</v>
      </c>
    </row>
    <row s="1643" customFormat="1" customHeight="1" ht="11.549999999999999">
      <c r="A248" s="989"/>
      <c r="B248" s="1638"/>
      <c r="C248" s="1638"/>
      <c r="D248" s="353"/>
      <c r="K248" s="1162"/>
      <c r="L248" s="1638"/>
      <c r="M248" s="1638"/>
      <c r="N248" s="1162"/>
      <c r="O248" s="1162"/>
      <c r="P248" s="1162"/>
      <c r="Q248" s="1162"/>
      <c r="R248" s="1638"/>
      <c r="S248" s="1162"/>
      <c r="T248" s="1162"/>
      <c r="U248" s="546"/>
      <c r="V248" s="1162"/>
      <c r="W248" s="1162"/>
      <c r="X248" s="1162"/>
      <c r="Y248" s="1162"/>
      <c r="Z248" s="1162"/>
      <c r="AA248" s="1634"/>
      <c r="AB248" s="568"/>
      <c r="AC248" s="568"/>
      <c r="AD248" s="568"/>
      <c r="AE248" s="568"/>
      <c r="AF248" s="1643">
        <v>11</v>
      </c>
    </row>
    <row s="1643" customFormat="1" customHeight="1" ht="11.549999999999999">
      <c r="A249" s="989"/>
      <c r="B249" s="1638"/>
      <c r="C249" s="1638"/>
      <c r="D249" s="353"/>
      <c r="K249" s="1162"/>
      <c r="L249" s="1638"/>
      <c r="M249" s="1638"/>
      <c r="N249" s="1162"/>
      <c r="O249" s="1162"/>
      <c r="P249" s="1162"/>
      <c r="Q249" s="1162"/>
      <c r="R249" s="1638"/>
      <c r="S249" s="1162"/>
      <c r="T249" s="1162"/>
      <c r="U249" s="546"/>
      <c r="V249" s="1162"/>
      <c r="W249" s="1162"/>
      <c r="X249" s="1162"/>
      <c r="Y249" s="1162"/>
      <c r="Z249" s="1162"/>
      <c r="AA249" s="1634"/>
      <c r="AB249" s="568"/>
      <c r="AC249" s="568"/>
      <c r="AD249" s="568"/>
      <c r="AE249" s="568"/>
      <c r="AF249" s="1643">
        <v>11</v>
      </c>
    </row>
    <row s="1643" customFormat="1" customHeight="1" ht="11.549999999999999">
      <c r="A250" s="989"/>
      <c r="B250" s="1638"/>
      <c r="C250" s="1638"/>
      <c r="D250" s="353"/>
      <c r="K250" s="1162"/>
      <c r="L250" s="1638"/>
      <c r="M250" s="1638"/>
      <c r="N250" s="1162"/>
      <c r="O250" s="1162"/>
      <c r="P250" s="1162"/>
      <c r="Q250" s="1162"/>
      <c r="R250" s="1638"/>
      <c r="S250" s="1162"/>
      <c r="T250" s="1162"/>
      <c r="U250" s="546"/>
      <c r="V250" s="1162"/>
      <c r="W250" s="1162"/>
      <c r="X250" s="1162"/>
      <c r="Y250" s="1162"/>
      <c r="Z250" s="1162"/>
      <c r="AA250" s="1634"/>
      <c r="AB250" s="568"/>
      <c r="AC250" s="568"/>
      <c r="AD250" s="568"/>
      <c r="AE250" s="568"/>
      <c r="AF250" s="1643">
        <v>11</v>
      </c>
    </row>
    <row s="1643" customFormat="1" customHeight="1" ht="11.549999999999999">
      <c r="A251" s="989"/>
      <c r="B251" s="1638"/>
      <c r="C251" s="1638"/>
      <c r="D251" s="353"/>
      <c r="K251" s="1162"/>
      <c r="L251" s="1638"/>
      <c r="M251" s="1638"/>
      <c r="N251" s="1162"/>
      <c r="O251" s="1162"/>
      <c r="P251" s="1162"/>
      <c r="Q251" s="1162"/>
      <c r="R251" s="1638"/>
      <c r="S251" s="1162"/>
      <c r="T251" s="1162"/>
      <c r="U251" s="546"/>
      <c r="V251" s="1162"/>
      <c r="W251" s="1162"/>
      <c r="X251" s="1162"/>
      <c r="Y251" s="1162"/>
      <c r="Z251" s="1162"/>
      <c r="AA251" s="1634"/>
      <c r="AB251" s="568"/>
      <c r="AC251" s="568"/>
      <c r="AD251" s="568"/>
      <c r="AE251" s="568"/>
      <c r="AF251" s="1643">
        <v>11</v>
      </c>
    </row>
    <row s="1643" customFormat="1" customHeight="1" ht="11.549999999999999">
      <c r="A252" s="989"/>
      <c r="B252" s="1638"/>
      <c r="C252" s="1638"/>
      <c r="D252" s="353"/>
      <c r="K252" s="1162"/>
      <c r="L252" s="1638"/>
      <c r="M252" s="1638"/>
      <c r="N252" s="1162"/>
      <c r="O252" s="1162"/>
      <c r="P252" s="1162"/>
      <c r="Q252" s="1162"/>
      <c r="R252" s="1638"/>
      <c r="S252" s="1162"/>
      <c r="T252" s="1162"/>
      <c r="U252" s="546"/>
      <c r="V252" s="1162"/>
      <c r="W252" s="1162"/>
      <c r="X252" s="1162"/>
      <c r="Y252" s="1162"/>
      <c r="Z252" s="1162"/>
      <c r="AA252" s="1634"/>
      <c r="AB252" s="568"/>
      <c r="AC252" s="568"/>
      <c r="AD252" s="568"/>
      <c r="AE252" s="568"/>
      <c r="AF252" s="1643">
        <v>11</v>
      </c>
    </row>
    <row s="1643" customFormat="1" customHeight="1" ht="11.549999999999999">
      <c r="A253" s="989"/>
      <c r="B253" s="1638"/>
      <c r="C253" s="1638"/>
      <c r="D253" s="353"/>
      <c r="K253" s="1162"/>
      <c r="L253" s="1638"/>
      <c r="M253" s="1638"/>
      <c r="N253" s="1162"/>
      <c r="O253" s="1162"/>
      <c r="P253" s="1162"/>
      <c r="Q253" s="1162"/>
      <c r="R253" s="1638"/>
      <c r="S253" s="1162"/>
      <c r="T253" s="1162"/>
      <c r="U253" s="546"/>
      <c r="V253" s="1162"/>
      <c r="W253" s="1162"/>
      <c r="X253" s="1162"/>
      <c r="Y253" s="1162"/>
      <c r="Z253" s="1162"/>
      <c r="AA253" s="1634"/>
      <c r="AB253" s="568"/>
      <c r="AC253" s="568"/>
      <c r="AD253" s="568"/>
      <c r="AE253" s="568"/>
      <c r="AF253" s="1643">
        <v>11</v>
      </c>
    </row>
    <row s="1643" customFormat="1" customHeight="1" ht="11.549999999999999">
      <c r="A254" s="989"/>
      <c r="B254" s="1638"/>
      <c r="C254" s="1638"/>
      <c r="D254" s="353"/>
      <c r="K254" s="1162"/>
      <c r="L254" s="1638"/>
      <c r="M254" s="1638"/>
      <c r="N254" s="1162"/>
      <c r="O254" s="1162"/>
      <c r="P254" s="1162"/>
      <c r="Q254" s="1162"/>
      <c r="R254" s="1638"/>
      <c r="S254" s="1162"/>
      <c r="T254" s="1162"/>
      <c r="U254" s="546"/>
      <c r="V254" s="1162"/>
      <c r="W254" s="1162"/>
      <c r="X254" s="1162"/>
      <c r="Y254" s="1162"/>
      <c r="Z254" s="1162"/>
      <c r="AA254" s="1634"/>
      <c r="AB254" s="568"/>
      <c r="AC254" s="568"/>
      <c r="AD254" s="568"/>
      <c r="AE254" s="568"/>
      <c r="AF254" s="1643">
        <v>11</v>
      </c>
    </row>
    <row s="1643" customFormat="1" customHeight="1" ht="11.549999999999999">
      <c r="A255" s="989"/>
      <c r="B255" s="1638"/>
      <c r="C255" s="1638"/>
      <c r="D255" s="353"/>
      <c r="K255" s="1162"/>
      <c r="L255" s="1638"/>
      <c r="M255" s="1638"/>
      <c r="N255" s="1162"/>
      <c r="O255" s="1162"/>
      <c r="P255" s="1162"/>
      <c r="Q255" s="1162"/>
      <c r="R255" s="1638"/>
      <c r="S255" s="1162"/>
      <c r="T255" s="1162"/>
      <c r="U255" s="546"/>
      <c r="V255" s="1162"/>
      <c r="W255" s="1162"/>
      <c r="X255" s="1162"/>
      <c r="Y255" s="1162"/>
      <c r="Z255" s="1162"/>
      <c r="AA255" s="1634"/>
      <c r="AB255" s="568"/>
      <c r="AC255" s="568"/>
      <c r="AD255" s="568"/>
      <c r="AE255" s="568"/>
      <c r="AF255" s="1643">
        <v>11</v>
      </c>
    </row>
    <row s="1643" customFormat="1" customHeight="1" ht="11.549999999999999">
      <c r="A256" s="989"/>
      <c r="B256" s="1638"/>
      <c r="C256" s="1638"/>
      <c r="D256" s="353"/>
      <c r="K256" s="1162"/>
      <c r="L256" s="1638"/>
      <c r="M256" s="1638"/>
      <c r="N256" s="1162"/>
      <c r="O256" s="1162"/>
      <c r="P256" s="1162"/>
      <c r="Q256" s="1162"/>
      <c r="R256" s="1638"/>
      <c r="S256" s="1162"/>
      <c r="T256" s="1162"/>
      <c r="U256" s="546"/>
      <c r="V256" s="1162"/>
      <c r="W256" s="1162"/>
      <c r="X256" s="1162"/>
      <c r="Y256" s="1162"/>
      <c r="Z256" s="1162"/>
      <c r="AA256" s="1634"/>
      <c r="AB256" s="568"/>
      <c r="AC256" s="568"/>
      <c r="AD256" s="568"/>
      <c r="AE256" s="568"/>
      <c r="AF256" s="1643">
        <v>11</v>
      </c>
    </row>
    <row s="1643" customFormat="1" customHeight="1" ht="11.549999999999999">
      <c r="A257" s="989"/>
      <c r="B257" s="1638"/>
      <c r="C257" s="1638"/>
      <c r="D257" s="353"/>
      <c r="K257" s="1162"/>
      <c r="L257" s="1638"/>
      <c r="M257" s="1638"/>
      <c r="N257" s="1162"/>
      <c r="O257" s="1162"/>
      <c r="P257" s="1162"/>
      <c r="Q257" s="1162"/>
      <c r="R257" s="1638"/>
      <c r="S257" s="1162"/>
      <c r="T257" s="1162"/>
      <c r="U257" s="546"/>
      <c r="V257" s="1162"/>
      <c r="W257" s="1162"/>
      <c r="X257" s="1162"/>
      <c r="Y257" s="1162"/>
      <c r="Z257" s="1162"/>
      <c r="AA257" s="1634"/>
      <c r="AB257" s="568"/>
      <c r="AC257" s="568"/>
      <c r="AD257" s="568"/>
      <c r="AE257" s="568"/>
      <c r="AF257" s="1643">
        <v>11</v>
      </c>
    </row>
    <row s="1643" customFormat="1" customHeight="1" ht="11.549999999999999">
      <c r="A258" s="989"/>
      <c r="B258" s="1638"/>
      <c r="C258" s="1638"/>
      <c r="D258" s="353"/>
      <c r="K258" s="1162"/>
      <c r="L258" s="1638"/>
      <c r="M258" s="1638"/>
      <c r="N258" s="1162"/>
      <c r="O258" s="1162"/>
      <c r="P258" s="1162"/>
      <c r="Q258" s="1162"/>
      <c r="R258" s="1638"/>
      <c r="S258" s="1162"/>
      <c r="T258" s="1162"/>
      <c r="U258" s="546"/>
      <c r="V258" s="1162"/>
      <c r="W258" s="1162"/>
      <c r="X258" s="1162"/>
      <c r="Y258" s="1162"/>
      <c r="Z258" s="1162"/>
      <c r="AA258" s="1634"/>
      <c r="AB258" s="568"/>
      <c r="AC258" s="568"/>
      <c r="AD258" s="568"/>
      <c r="AE258" s="568"/>
      <c r="AF258" s="1643">
        <v>11</v>
      </c>
    </row>
    <row s="1643" customFormat="1" customHeight="1" ht="11.549999999999999">
      <c r="A259" s="989"/>
      <c r="B259" s="1638"/>
      <c r="C259" s="1638"/>
      <c r="D259" s="353"/>
      <c r="K259" s="1162"/>
      <c r="L259" s="1638"/>
      <c r="M259" s="1638"/>
      <c r="N259" s="1162"/>
      <c r="O259" s="1162"/>
      <c r="P259" s="1162"/>
      <c r="Q259" s="1162"/>
      <c r="R259" s="1638"/>
      <c r="S259" s="1162"/>
      <c r="T259" s="1162"/>
      <c r="U259" s="546"/>
      <c r="V259" s="1162"/>
      <c r="W259" s="1162"/>
      <c r="X259" s="1162"/>
      <c r="Y259" s="1162"/>
      <c r="Z259" s="1162"/>
      <c r="AA259" s="1634"/>
      <c r="AB259" s="568"/>
      <c r="AC259" s="568"/>
      <c r="AD259" s="568"/>
      <c r="AE259" s="568"/>
      <c r="AF259" s="1643">
        <v>11</v>
      </c>
    </row>
    <row s="1643" customFormat="1" customHeight="1" ht="11.549999999999999">
      <c r="A260" s="989"/>
      <c r="B260" s="1638"/>
      <c r="C260" s="1638"/>
      <c r="D260" s="353"/>
      <c r="K260" s="1162"/>
      <c r="L260" s="1638"/>
      <c r="M260" s="1638"/>
      <c r="N260" s="1162"/>
      <c r="O260" s="1162"/>
      <c r="P260" s="1162"/>
      <c r="Q260" s="1162"/>
      <c r="R260" s="1638"/>
      <c r="S260" s="1162"/>
      <c r="T260" s="1162"/>
      <c r="U260" s="546"/>
      <c r="V260" s="1162"/>
      <c r="W260" s="1162"/>
      <c r="X260" s="1162"/>
      <c r="Y260" s="1162"/>
      <c r="Z260" s="1162"/>
      <c r="AA260" s="1634"/>
      <c r="AB260" s="568"/>
      <c r="AC260" s="568"/>
      <c r="AD260" s="568"/>
      <c r="AE260" s="568"/>
      <c r="AF260" s="1643">
        <v>11</v>
      </c>
    </row>
    <row s="1643" customFormat="1" customHeight="1" ht="11.549999999999999">
      <c r="A261" s="989"/>
      <c r="B261" s="1638"/>
      <c r="C261" s="1638"/>
      <c r="D261" s="353"/>
      <c r="K261" s="1162"/>
      <c r="L261" s="1638"/>
      <c r="M261" s="1638"/>
      <c r="N261" s="1162"/>
      <c r="O261" s="1162"/>
      <c r="P261" s="1162"/>
      <c r="Q261" s="1162"/>
      <c r="R261" s="1638"/>
      <c r="S261" s="1162"/>
      <c r="T261" s="1162"/>
      <c r="U261" s="546"/>
      <c r="V261" s="1162"/>
      <c r="W261" s="1162"/>
      <c r="X261" s="1162"/>
      <c r="Y261" s="1162"/>
      <c r="Z261" s="1162"/>
      <c r="AA261" s="1634"/>
      <c r="AB261" s="568"/>
      <c r="AC261" s="568"/>
      <c r="AD261" s="568"/>
      <c r="AE261" s="568"/>
      <c r="AF261" s="1643">
        <v>11</v>
      </c>
    </row>
    <row s="1643" customFormat="1" customHeight="1" ht="11.549999999999999">
      <c r="A262" s="989"/>
      <c r="B262" s="1638"/>
      <c r="C262" s="1638"/>
      <c r="D262" s="353"/>
      <c r="K262" s="1162"/>
      <c r="L262" s="1638"/>
      <c r="M262" s="1638"/>
      <c r="N262" s="1162"/>
      <c r="O262" s="1162"/>
      <c r="P262" s="1162"/>
      <c r="Q262" s="1162"/>
      <c r="R262" s="1638"/>
      <c r="S262" s="1162"/>
      <c r="T262" s="1162"/>
      <c r="U262" s="546"/>
      <c r="V262" s="1162"/>
      <c r="W262" s="1162"/>
      <c r="X262" s="1162"/>
      <c r="Y262" s="1162"/>
      <c r="Z262" s="1162"/>
      <c r="AA262" s="1634"/>
      <c r="AB262" s="568"/>
      <c r="AC262" s="568"/>
      <c r="AD262" s="568"/>
      <c r="AE262" s="568"/>
      <c r="AF262" s="1643">
        <v>11</v>
      </c>
    </row>
    <row s="1643" customFormat="1" customHeight="1" ht="11.549999999999999">
      <c r="A263" s="989"/>
      <c r="B263" s="1638"/>
      <c r="C263" s="1638"/>
      <c r="D263" s="353"/>
      <c r="K263" s="1162"/>
      <c r="L263" s="1638"/>
      <c r="M263" s="1638"/>
      <c r="N263" s="1162"/>
      <c r="O263" s="1162"/>
      <c r="P263" s="1162"/>
      <c r="Q263" s="1162"/>
      <c r="R263" s="1638"/>
      <c r="S263" s="1162"/>
      <c r="T263" s="1162"/>
      <c r="U263" s="546"/>
      <c r="V263" s="1162"/>
      <c r="W263" s="1162"/>
      <c r="X263" s="1162"/>
      <c r="Y263" s="1162"/>
      <c r="Z263" s="1162"/>
      <c r="AA263" s="1634"/>
      <c r="AB263" s="568"/>
      <c r="AC263" s="568"/>
      <c r="AD263" s="568"/>
      <c r="AE263" s="568"/>
      <c r="AF263" s="1643">
        <v>11</v>
      </c>
    </row>
    <row s="1643" customFormat="1" customHeight="1" ht="11.549999999999999">
      <c r="A264" s="989"/>
      <c r="B264" s="1638"/>
      <c r="C264" s="1638"/>
      <c r="D264" s="353"/>
      <c r="K264" s="1162"/>
      <c r="L264" s="1638"/>
      <c r="M264" s="1638"/>
      <c r="N264" s="1162"/>
      <c r="O264" s="1162"/>
      <c r="P264" s="1162"/>
      <c r="Q264" s="1162"/>
      <c r="R264" s="1638"/>
      <c r="S264" s="1162"/>
      <c r="T264" s="1162"/>
      <c r="U264" s="546"/>
      <c r="V264" s="1162"/>
      <c r="W264" s="1162"/>
      <c r="X264" s="1162"/>
      <c r="Y264" s="1162"/>
      <c r="Z264" s="1162"/>
      <c r="AA264" s="1634"/>
      <c r="AB264" s="568"/>
      <c r="AC264" s="568"/>
      <c r="AD264" s="568"/>
      <c r="AE264" s="568"/>
      <c r="AF264" s="1643">
        <v>11</v>
      </c>
    </row>
    <row s="1643" customFormat="1" customHeight="1" ht="11.549999999999999">
      <c r="A265" s="989"/>
      <c r="B265" s="1638"/>
      <c r="C265" s="1638"/>
      <c r="D265" s="353"/>
      <c r="K265" s="1162"/>
      <c r="L265" s="1638"/>
      <c r="M265" s="1638"/>
      <c r="N265" s="1162"/>
      <c r="O265" s="1162"/>
      <c r="P265" s="1162"/>
      <c r="Q265" s="1162"/>
      <c r="R265" s="1638"/>
      <c r="S265" s="1162"/>
      <c r="T265" s="1162"/>
      <c r="U265" s="546"/>
      <c r="V265" s="1162"/>
      <c r="W265" s="1162"/>
      <c r="X265" s="1162"/>
      <c r="Y265" s="1162"/>
      <c r="Z265" s="1162"/>
      <c r="AA265" s="1634"/>
      <c r="AB265" s="568"/>
      <c r="AC265" s="568"/>
      <c r="AD265" s="568"/>
      <c r="AE265" s="568"/>
      <c r="AF265" s="1643">
        <v>11</v>
      </c>
    </row>
    <row s="1643" customFormat="1" customHeight="1" ht="11.549999999999999">
      <c r="A266" s="989"/>
      <c r="B266" s="1638"/>
      <c r="C266" s="1638"/>
      <c r="D266" s="353"/>
      <c r="K266" s="1162"/>
      <c r="L266" s="1638"/>
      <c r="M266" s="1638"/>
      <c r="N266" s="1162"/>
      <c r="O266" s="1162"/>
      <c r="P266" s="1162"/>
      <c r="Q266" s="1162"/>
      <c r="R266" s="1638"/>
      <c r="S266" s="1162"/>
      <c r="T266" s="1162"/>
      <c r="U266" s="546"/>
      <c r="V266" s="1162"/>
      <c r="W266" s="1162"/>
      <c r="X266" s="1162"/>
      <c r="Y266" s="1162"/>
      <c r="Z266" s="1162"/>
      <c r="AA266" s="1634"/>
      <c r="AB266" s="568"/>
      <c r="AC266" s="568"/>
      <c r="AD266" s="568"/>
      <c r="AE266" s="568"/>
      <c r="AF266" s="1643">
        <v>11</v>
      </c>
    </row>
    <row s="1643" customFormat="1" customHeight="1" ht="11.549999999999999">
      <c r="A267" s="989"/>
      <c r="B267" s="1638"/>
      <c r="C267" s="1638"/>
      <c r="D267" s="353"/>
      <c r="K267" s="1162"/>
      <c r="L267" s="1638"/>
      <c r="M267" s="1638"/>
      <c r="N267" s="1162"/>
      <c r="O267" s="1162"/>
      <c r="P267" s="1162"/>
      <c r="Q267" s="1162"/>
      <c r="R267" s="1638"/>
      <c r="S267" s="1162"/>
      <c r="T267" s="1162"/>
      <c r="U267" s="546"/>
      <c r="V267" s="1162"/>
      <c r="W267" s="1162"/>
      <c r="X267" s="1162"/>
      <c r="Y267" s="1162"/>
      <c r="Z267" s="1162"/>
      <c r="AA267" s="1634"/>
      <c r="AB267" s="568"/>
      <c r="AC267" s="568"/>
      <c r="AD267" s="568"/>
      <c r="AE267" s="568"/>
      <c r="AF267" s="1643">
        <v>11</v>
      </c>
    </row>
    <row s="1643" customFormat="1" customHeight="1" ht="11.549999999999999">
      <c r="A268" s="989"/>
      <c r="B268" s="1638"/>
      <c r="C268" s="1638"/>
      <c r="D268" s="353"/>
      <c r="K268" s="1162"/>
      <c r="L268" s="1638"/>
      <c r="M268" s="1638"/>
      <c r="N268" s="1162"/>
      <c r="O268" s="1162"/>
      <c r="P268" s="1162"/>
      <c r="Q268" s="1162"/>
      <c r="R268" s="1638"/>
      <c r="S268" s="1162"/>
      <c r="T268" s="1162"/>
      <c r="U268" s="546"/>
      <c r="V268" s="1162"/>
      <c r="W268" s="1162"/>
      <c r="X268" s="1162"/>
      <c r="Y268" s="1162"/>
      <c r="Z268" s="1162"/>
      <c r="AA268" s="1634"/>
      <c r="AB268" s="568"/>
      <c r="AC268" s="568"/>
      <c r="AD268" s="568"/>
      <c r="AE268" s="568"/>
      <c r="AF268" s="1643">
        <v>11</v>
      </c>
    </row>
    <row s="1643" customFormat="1" customHeight="1" ht="11.549999999999999">
      <c r="A269" s="989"/>
      <c r="B269" s="1638"/>
      <c r="C269" s="1638"/>
      <c r="D269" s="353"/>
      <c r="K269" s="1162"/>
      <c r="L269" s="1638"/>
      <c r="M269" s="1638"/>
      <c r="N269" s="1162"/>
      <c r="O269" s="1162"/>
      <c r="P269" s="1162"/>
      <c r="Q269" s="1162"/>
      <c r="R269" s="1638"/>
      <c r="S269" s="1162"/>
      <c r="T269" s="1162"/>
      <c r="U269" s="546"/>
      <c r="V269" s="1162"/>
      <c r="W269" s="1162"/>
      <c r="X269" s="1162"/>
      <c r="Y269" s="1162"/>
      <c r="Z269" s="1162"/>
      <c r="AA269" s="1634"/>
      <c r="AB269" s="568"/>
      <c r="AC269" s="568"/>
      <c r="AD269" s="568"/>
      <c r="AE269" s="568"/>
      <c r="AF269" s="1643">
        <v>11</v>
      </c>
    </row>
    <row s="1643" customFormat="1" customHeight="1" ht="11.549999999999999">
      <c r="A270" s="989"/>
      <c r="B270" s="1638"/>
      <c r="C270" s="1638"/>
      <c r="D270" s="353"/>
      <c r="K270" s="1162"/>
      <c r="L270" s="1638"/>
      <c r="M270" s="1638"/>
      <c r="N270" s="1162"/>
      <c r="O270" s="1162"/>
      <c r="P270" s="1162"/>
      <c r="Q270" s="1162"/>
      <c r="R270" s="1638"/>
      <c r="S270" s="1162"/>
      <c r="T270" s="1162"/>
      <c r="U270" s="546"/>
      <c r="V270" s="1162"/>
      <c r="W270" s="1162"/>
      <c r="X270" s="1162"/>
      <c r="Y270" s="1162"/>
      <c r="Z270" s="1162"/>
      <c r="AA270" s="1634"/>
      <c r="AB270" s="568"/>
      <c r="AC270" s="568"/>
      <c r="AD270" s="568"/>
      <c r="AE270" s="568"/>
      <c r="AF270" s="1643">
        <v>11</v>
      </c>
    </row>
    <row s="1643" customFormat="1" customHeight="1" ht="11.549999999999999">
      <c r="A271" s="989"/>
      <c r="B271" s="1638"/>
      <c r="C271" s="1638"/>
      <c r="D271" s="353"/>
      <c r="K271" s="1162"/>
      <c r="L271" s="1638"/>
      <c r="M271" s="1638"/>
      <c r="N271" s="1162"/>
      <c r="O271" s="1162"/>
      <c r="P271" s="1162"/>
      <c r="Q271" s="1162"/>
      <c r="R271" s="1638"/>
      <c r="S271" s="1162"/>
      <c r="T271" s="1162"/>
      <c r="U271" s="546"/>
      <c r="V271" s="1162"/>
      <c r="W271" s="1162"/>
      <c r="X271" s="1162"/>
      <c r="Y271" s="1162"/>
      <c r="Z271" s="1162"/>
      <c r="AA271" s="1634"/>
      <c r="AB271" s="568"/>
      <c r="AC271" s="568"/>
      <c r="AD271" s="568"/>
      <c r="AE271" s="568"/>
      <c r="AF271" s="1643">
        <v>11</v>
      </c>
    </row>
    <row s="1643" customFormat="1" customHeight="1" ht="11.549999999999999">
      <c r="A272" s="989"/>
      <c r="B272" s="1638"/>
      <c r="C272" s="1638"/>
      <c r="D272" s="353"/>
      <c r="K272" s="1162"/>
      <c r="L272" s="1638"/>
      <c r="M272" s="1638"/>
      <c r="N272" s="1162"/>
      <c r="O272" s="1162"/>
      <c r="P272" s="1162"/>
      <c r="Q272" s="1162"/>
      <c r="R272" s="1638"/>
      <c r="S272" s="1162"/>
      <c r="T272" s="1162"/>
      <c r="U272" s="546"/>
      <c r="V272" s="1162"/>
      <c r="W272" s="1162"/>
      <c r="X272" s="1162"/>
      <c r="Y272" s="1162"/>
      <c r="Z272" s="1162"/>
      <c r="AA272" s="1634"/>
      <c r="AB272" s="568"/>
      <c r="AC272" s="568"/>
      <c r="AD272" s="568"/>
      <c r="AE272" s="568"/>
      <c r="AF272" s="1643">
        <v>11</v>
      </c>
    </row>
    <row s="1643" customFormat="1" customHeight="1" ht="11.549999999999999">
      <c r="A273" s="989"/>
      <c r="B273" s="1638"/>
      <c r="C273" s="1638"/>
      <c r="D273" s="353"/>
      <c r="K273" s="1162"/>
      <c r="L273" s="1638"/>
      <c r="M273" s="1638"/>
      <c r="N273" s="1162"/>
      <c r="O273" s="1162"/>
      <c r="P273" s="1162"/>
      <c r="Q273" s="1162"/>
      <c r="R273" s="1638"/>
      <c r="S273" s="1162"/>
      <c r="T273" s="1162"/>
      <c r="U273" s="546"/>
      <c r="V273" s="1162"/>
      <c r="W273" s="1162"/>
      <c r="X273" s="1162"/>
      <c r="Y273" s="1162"/>
      <c r="Z273" s="1162"/>
      <c r="AA273" s="1634"/>
      <c r="AB273" s="568"/>
      <c r="AC273" s="568"/>
      <c r="AD273" s="568"/>
      <c r="AE273" s="568"/>
      <c r="AF273" s="1643">
        <v>11</v>
      </c>
    </row>
    <row s="1643" customFormat="1" customHeight="1" ht="11.549999999999999">
      <c r="A274" s="989"/>
      <c r="B274" s="1638"/>
      <c r="C274" s="1638"/>
      <c r="D274" s="353"/>
      <c r="K274" s="1162"/>
      <c r="L274" s="1638"/>
      <c r="M274" s="1638"/>
      <c r="N274" s="1162"/>
      <c r="O274" s="1162"/>
      <c r="P274" s="1162"/>
      <c r="Q274" s="1162"/>
      <c r="R274" s="1638"/>
      <c r="S274" s="1162"/>
      <c r="T274" s="1162"/>
      <c r="U274" s="546"/>
      <c r="V274" s="1162"/>
      <c r="W274" s="1162"/>
      <c r="X274" s="1162"/>
      <c r="Y274" s="1162"/>
      <c r="Z274" s="1162"/>
      <c r="AA274" s="1634"/>
      <c r="AB274" s="568"/>
      <c r="AC274" s="568"/>
      <c r="AD274" s="568"/>
      <c r="AE274" s="568"/>
      <c r="AF274" s="1643">
        <v>11</v>
      </c>
    </row>
    <row s="1643" customFormat="1" customHeight="1" ht="11.549999999999999">
      <c r="A275" s="989"/>
      <c r="B275" s="1638"/>
      <c r="C275" s="1638"/>
      <c r="D275" s="353"/>
      <c r="K275" s="1162"/>
      <c r="L275" s="1638"/>
      <c r="M275" s="1638"/>
      <c r="N275" s="1162"/>
      <c r="O275" s="1162"/>
      <c r="P275" s="1162"/>
      <c r="Q275" s="1162"/>
      <c r="R275" s="1638"/>
      <c r="S275" s="1162"/>
      <c r="T275" s="1162"/>
      <c r="U275" s="546"/>
      <c r="V275" s="1162"/>
      <c r="W275" s="1162"/>
      <c r="X275" s="1162"/>
      <c r="Y275" s="1162"/>
      <c r="Z275" s="1162"/>
      <c r="AA275" s="1634"/>
      <c r="AB275" s="568"/>
      <c r="AC275" s="568"/>
      <c r="AD275" s="568"/>
      <c r="AE275" s="568"/>
      <c r="AF275" s="1643">
        <v>11</v>
      </c>
    </row>
    <row s="1643" customFormat="1" customHeight="1" ht="11.549999999999999">
      <c r="A276" s="989"/>
      <c r="B276" s="1638"/>
      <c r="C276" s="1638"/>
      <c r="D276" s="353"/>
      <c r="K276" s="1162"/>
      <c r="L276" s="1638"/>
      <c r="M276" s="1638"/>
      <c r="N276" s="1162"/>
      <c r="O276" s="1162"/>
      <c r="P276" s="1162"/>
      <c r="Q276" s="1162"/>
      <c r="R276" s="1638"/>
      <c r="S276" s="1162"/>
      <c r="T276" s="1162"/>
      <c r="U276" s="546"/>
      <c r="V276" s="1162"/>
      <c r="W276" s="1162"/>
      <c r="X276" s="1162"/>
      <c r="Y276" s="1162"/>
      <c r="Z276" s="1162"/>
      <c r="AA276" s="1634"/>
      <c r="AB276" s="568"/>
      <c r="AC276" s="568"/>
      <c r="AD276" s="568"/>
      <c r="AE276" s="568"/>
      <c r="AF276" s="1643">
        <v>11</v>
      </c>
    </row>
    <row s="1643" customFormat="1" customHeight="1" ht="11.549999999999999">
      <c r="A277" s="989"/>
      <c r="B277" s="1638"/>
      <c r="C277" s="1638"/>
      <c r="D277" s="353"/>
      <c r="K277" s="1162"/>
      <c r="L277" s="1638"/>
      <c r="M277" s="1638"/>
      <c r="N277" s="1162"/>
      <c r="O277" s="1162"/>
      <c r="P277" s="1162"/>
      <c r="Q277" s="1162"/>
      <c r="R277" s="1638"/>
      <c r="S277" s="1162"/>
      <c r="T277" s="1162"/>
      <c r="U277" s="546"/>
      <c r="V277" s="1162"/>
      <c r="W277" s="1162"/>
      <c r="X277" s="1162"/>
      <c r="Y277" s="1162"/>
      <c r="Z277" s="1162"/>
      <c r="AA277" s="1634"/>
      <c r="AB277" s="568"/>
      <c r="AC277" s="568"/>
      <c r="AD277" s="568"/>
      <c r="AE277" s="568"/>
      <c r="AF277" s="1643">
        <v>11</v>
      </c>
    </row>
    <row s="1643" customFormat="1" customHeight="1" ht="11.549999999999999">
      <c r="A278" s="989"/>
      <c r="B278" s="1638"/>
      <c r="C278" s="1638"/>
      <c r="D278" s="353"/>
      <c r="K278" s="1162"/>
      <c r="L278" s="1638"/>
      <c r="M278" s="1638"/>
      <c r="N278" s="1162"/>
      <c r="O278" s="1162"/>
      <c r="P278" s="1162"/>
      <c r="Q278" s="1162"/>
      <c r="R278" s="1638"/>
      <c r="S278" s="1162"/>
      <c r="T278" s="1162"/>
      <c r="U278" s="546"/>
      <c r="V278" s="1162"/>
      <c r="W278" s="1162"/>
      <c r="X278" s="1162"/>
      <c r="Y278" s="1162"/>
      <c r="Z278" s="1162"/>
      <c r="AA278" s="1634"/>
      <c r="AB278" s="568"/>
      <c r="AC278" s="568"/>
      <c r="AD278" s="568"/>
      <c r="AE278" s="568"/>
      <c r="AF278" s="1643">
        <v>11</v>
      </c>
    </row>
    <row s="1643" customFormat="1" customHeight="1" ht="11.549999999999999">
      <c r="A279" s="989"/>
      <c r="B279" s="1638"/>
      <c r="C279" s="1638"/>
      <c r="D279" s="353"/>
      <c r="K279" s="1162"/>
      <c r="L279" s="1638"/>
      <c r="M279" s="1638"/>
      <c r="N279" s="1162"/>
      <c r="O279" s="1162"/>
      <c r="P279" s="1162"/>
      <c r="Q279" s="1162"/>
      <c r="R279" s="1638"/>
      <c r="S279" s="1162"/>
      <c r="T279" s="1162"/>
      <c r="U279" s="546"/>
      <c r="V279" s="1162"/>
      <c r="W279" s="1162"/>
      <c r="X279" s="1162"/>
      <c r="Y279" s="1162"/>
      <c r="Z279" s="1162"/>
      <c r="AA279" s="1634"/>
      <c r="AB279" s="568"/>
      <c r="AC279" s="568"/>
      <c r="AD279" s="568"/>
      <c r="AE279" s="568"/>
      <c r="AF279" s="1643">
        <v>11</v>
      </c>
    </row>
    <row s="1643" customFormat="1" customHeight="1" ht="11.549999999999999">
      <c r="A280" s="989"/>
      <c r="B280" s="1638"/>
      <c r="C280" s="1638"/>
      <c r="D280" s="353"/>
      <c r="K280" s="1162"/>
      <c r="L280" s="1638"/>
      <c r="M280" s="1638"/>
      <c r="N280" s="1162"/>
      <c r="O280" s="1162"/>
      <c r="P280" s="1162"/>
      <c r="Q280" s="1162"/>
      <c r="R280" s="1638"/>
      <c r="S280" s="1162"/>
      <c r="T280" s="1162"/>
      <c r="U280" s="546"/>
      <c r="V280" s="1162"/>
      <c r="W280" s="1162"/>
      <c r="X280" s="1162"/>
      <c r="Y280" s="1162"/>
      <c r="Z280" s="1162"/>
      <c r="AA280" s="1634"/>
      <c r="AB280" s="568"/>
      <c r="AC280" s="568"/>
      <c r="AD280" s="568"/>
      <c r="AE280" s="568"/>
      <c r="AF280" s="1643">
        <v>11</v>
      </c>
    </row>
    <row s="1643" customFormat="1" customHeight="1" ht="11.549999999999999">
      <c r="A281" s="989"/>
      <c r="B281" s="1638"/>
      <c r="C281" s="1638"/>
      <c r="D281" s="353"/>
      <c r="K281" s="1162"/>
      <c r="L281" s="1638"/>
      <c r="M281" s="1638"/>
      <c r="N281" s="1162"/>
      <c r="O281" s="1162"/>
      <c r="P281" s="1162"/>
      <c r="Q281" s="1162"/>
      <c r="R281" s="1638"/>
      <c r="S281" s="1162"/>
      <c r="T281" s="1162"/>
      <c r="U281" s="546"/>
      <c r="V281" s="1162"/>
      <c r="W281" s="1162"/>
      <c r="X281" s="1162"/>
      <c r="Y281" s="1162"/>
      <c r="Z281" s="1162"/>
      <c r="AA281" s="1634"/>
      <c r="AB281" s="568"/>
      <c r="AC281" s="568"/>
      <c r="AD281" s="568"/>
      <c r="AE281" s="568"/>
      <c r="AF281" s="1643">
        <v>11</v>
      </c>
    </row>
    <row s="1643" customFormat="1" customHeight="1" ht="11.549999999999999">
      <c r="A282" s="989"/>
      <c r="B282" s="1638"/>
      <c r="C282" s="1638"/>
      <c r="D282" s="353"/>
      <c r="K282" s="1162"/>
      <c r="L282" s="1638"/>
      <c r="M282" s="1638"/>
      <c r="N282" s="1162"/>
      <c r="O282" s="1162"/>
      <c r="P282" s="1162"/>
      <c r="Q282" s="1162"/>
      <c r="R282" s="1638"/>
      <c r="S282" s="1162"/>
      <c r="T282" s="1162"/>
      <c r="U282" s="546"/>
      <c r="V282" s="1162"/>
      <c r="W282" s="1162"/>
      <c r="X282" s="1162"/>
      <c r="Y282" s="1162"/>
      <c r="Z282" s="1162"/>
      <c r="AA282" s="1634"/>
      <c r="AB282" s="568"/>
      <c r="AC282" s="568"/>
      <c r="AD282" s="568"/>
      <c r="AE282" s="568"/>
      <c r="AF282" s="1643">
        <v>11</v>
      </c>
    </row>
    <row s="1643" customFormat="1" customHeight="1" ht="11.549999999999999">
      <c r="A283" s="989"/>
      <c r="B283" s="1638"/>
      <c r="C283" s="1638"/>
      <c r="D283" s="353"/>
      <c r="K283" s="1162"/>
      <c r="L283" s="1638"/>
      <c r="M283" s="1638"/>
      <c r="N283" s="1162"/>
      <c r="O283" s="1162"/>
      <c r="P283" s="1162"/>
      <c r="Q283" s="1162"/>
      <c r="R283" s="1638"/>
      <c r="S283" s="1162"/>
      <c r="T283" s="1162"/>
      <c r="U283" s="546"/>
      <c r="V283" s="1162"/>
      <c r="W283" s="1162"/>
      <c r="X283" s="1162"/>
      <c r="Y283" s="1162"/>
      <c r="Z283" s="1162"/>
      <c r="AA283" s="1634"/>
      <c r="AB283" s="568"/>
      <c r="AC283" s="568"/>
      <c r="AD283" s="568"/>
      <c r="AE283" s="568"/>
      <c r="AF283" s="1643">
        <v>11</v>
      </c>
    </row>
    <row s="1643" customFormat="1" customHeight="1" ht="11.549999999999999">
      <c r="A284" s="989"/>
      <c r="B284" s="1638"/>
      <c r="C284" s="1638"/>
      <c r="D284" s="353"/>
      <c r="K284" s="1162"/>
      <c r="L284" s="1638"/>
      <c r="M284" s="1638"/>
      <c r="N284" s="1162"/>
      <c r="O284" s="1162"/>
      <c r="P284" s="1162"/>
      <c r="Q284" s="1162"/>
      <c r="R284" s="1638"/>
      <c r="S284" s="1162"/>
      <c r="T284" s="1162"/>
      <c r="U284" s="546"/>
      <c r="V284" s="1162"/>
      <c r="W284" s="1162"/>
      <c r="X284" s="1162"/>
      <c r="Y284" s="1162"/>
      <c r="Z284" s="1162"/>
      <c r="AA284" s="1634"/>
      <c r="AB284" s="568"/>
      <c r="AC284" s="568"/>
      <c r="AD284" s="568"/>
      <c r="AE284" s="568"/>
      <c r="AF284" s="1643">
        <v>11</v>
      </c>
    </row>
    <row s="1643" customFormat="1" customHeight="1" ht="11.549999999999999">
      <c r="A285" s="989"/>
      <c r="B285" s="1638"/>
      <c r="C285" s="1638"/>
      <c r="D285" s="353"/>
      <c r="K285" s="1162"/>
      <c r="L285" s="1638"/>
      <c r="M285" s="1638"/>
      <c r="N285" s="1162"/>
      <c r="O285" s="1162"/>
      <c r="P285" s="1162"/>
      <c r="Q285" s="1162"/>
      <c r="R285" s="1638"/>
      <c r="S285" s="1162"/>
      <c r="T285" s="1162"/>
      <c r="U285" s="546"/>
      <c r="V285" s="1162"/>
      <c r="W285" s="1162"/>
      <c r="X285" s="1162"/>
      <c r="Y285" s="1162"/>
      <c r="Z285" s="1162"/>
      <c r="AA285" s="1634"/>
      <c r="AB285" s="568"/>
      <c r="AC285" s="568"/>
      <c r="AD285" s="568"/>
      <c r="AE285" s="568"/>
      <c r="AF285" s="1643">
        <v>11</v>
      </c>
    </row>
    <row s="1643" customFormat="1" customHeight="1" ht="11.549999999999999">
      <c r="A286" s="989"/>
      <c r="B286" s="1638"/>
      <c r="C286" s="1638"/>
      <c r="D286" s="353"/>
      <c r="K286" s="1162"/>
      <c r="L286" s="1638"/>
      <c r="M286" s="1638"/>
      <c r="N286" s="1162"/>
      <c r="O286" s="1162"/>
      <c r="P286" s="1162"/>
      <c r="Q286" s="1162"/>
      <c r="R286" s="1638"/>
      <c r="S286" s="1162"/>
      <c r="T286" s="1162"/>
      <c r="U286" s="546"/>
      <c r="V286" s="1162"/>
      <c r="W286" s="1162"/>
      <c r="X286" s="1162"/>
      <c r="Y286" s="1162"/>
      <c r="Z286" s="1162"/>
      <c r="AA286" s="1634"/>
      <c r="AB286" s="568"/>
      <c r="AC286" s="568"/>
      <c r="AD286" s="568"/>
      <c r="AE286" s="568"/>
      <c r="AF286" s="1643">
        <v>11</v>
      </c>
    </row>
    <row s="1643" customFormat="1" customHeight="1" ht="11.549999999999999">
      <c r="A287" s="989"/>
      <c r="B287" s="1638"/>
      <c r="C287" s="1638"/>
      <c r="D287" s="353"/>
      <c r="K287" s="1162"/>
      <c r="L287" s="1638"/>
      <c r="M287" s="1638"/>
      <c r="N287" s="1162"/>
      <c r="O287" s="1162"/>
      <c r="P287" s="1162"/>
      <c r="Q287" s="1162"/>
      <c r="R287" s="1638"/>
      <c r="S287" s="1162"/>
      <c r="T287" s="1162"/>
      <c r="U287" s="546"/>
      <c r="V287" s="1162"/>
      <c r="W287" s="1162"/>
      <c r="X287" s="1162"/>
      <c r="Y287" s="1162"/>
      <c r="Z287" s="1162"/>
      <c r="AA287" s="1634"/>
      <c r="AB287" s="568"/>
      <c r="AC287" s="568"/>
      <c r="AD287" s="568"/>
      <c r="AE287" s="568"/>
      <c r="AF287" s="1643">
        <v>11</v>
      </c>
    </row>
    <row s="1643" customFormat="1" customHeight="1" ht="11.549999999999999">
      <c r="A288" s="989"/>
      <c r="B288" s="1638"/>
      <c r="C288" s="1638"/>
      <c r="D288" s="353"/>
      <c r="K288" s="1162"/>
      <c r="L288" s="1638"/>
      <c r="M288" s="1638"/>
      <c r="N288" s="1162"/>
      <c r="O288" s="1162"/>
      <c r="P288" s="1162"/>
      <c r="Q288" s="1162"/>
      <c r="R288" s="1638"/>
      <c r="S288" s="1162"/>
      <c r="T288" s="1162"/>
      <c r="U288" s="546"/>
      <c r="V288" s="1162"/>
      <c r="W288" s="1162"/>
      <c r="X288" s="1162"/>
      <c r="Y288" s="1162"/>
      <c r="Z288" s="1162"/>
      <c r="AA288" s="1634"/>
      <c r="AB288" s="568"/>
      <c r="AC288" s="568"/>
      <c r="AD288" s="568"/>
      <c r="AE288" s="568"/>
      <c r="AF288" s="1643">
        <v>11</v>
      </c>
    </row>
    <row customHeight="1" ht="11.549999999999999">
      <c r="AF289" s="1633">
        <v>11</v>
      </c>
    </row>
    <row customHeight="1" ht="11.549999999999999">
      <c r="AF290" s="1633">
        <v>11</v>
      </c>
    </row>
    <row customHeight="1" ht="11.549999999999999">
      <c r="AF291" s="1633">
        <v>11</v>
      </c>
    </row>
    <row customHeight="1" ht="11.549999999999999">
      <c r="A292" s="992"/>
      <c r="B292" s="1633"/>
      <c r="D292" s="1633"/>
      <c r="K292" s="1633"/>
      <c r="N292" s="1633"/>
      <c r="O292" s="1633"/>
      <c r="P292" s="1633"/>
      <c r="Q292" s="1633"/>
      <c r="S292" s="1633"/>
      <c r="T292" s="1633"/>
      <c r="U292" s="1633"/>
      <c r="V292" s="1633"/>
      <c r="W292" s="1633"/>
      <c r="X292" s="1633"/>
      <c r="Y292" s="1633"/>
      <c r="Z292" s="1633"/>
      <c r="AA292" s="1633"/>
      <c r="AB292" s="1633"/>
      <c r="AC292" s="1633"/>
      <c r="AD292" s="1633"/>
      <c r="AE292" s="1633"/>
      <c r="AF292" s="1633">
        <v>11</v>
      </c>
    </row>
    <row customHeight="1" ht="11.549999999999999">
      <c r="A293" s="992"/>
      <c r="B293" s="1633"/>
      <c r="D293" s="1633"/>
      <c r="K293" s="1633"/>
      <c r="N293" s="1633"/>
      <c r="O293" s="1633"/>
      <c r="P293" s="1633"/>
      <c r="Q293" s="1633"/>
      <c r="S293" s="1633"/>
      <c r="T293" s="1633"/>
      <c r="U293" s="1633"/>
      <c r="V293" s="1633"/>
      <c r="W293" s="1633"/>
      <c r="X293" s="1633"/>
      <c r="Y293" s="1633"/>
      <c r="Z293" s="1633"/>
      <c r="AA293" s="1633"/>
      <c r="AB293" s="1633"/>
      <c r="AC293" s="1633"/>
      <c r="AD293" s="1633"/>
      <c r="AE293" s="1633"/>
      <c r="AF293" s="1633">
        <v>11</v>
      </c>
    </row>
    <row customHeight="1" ht="11.549999999999999">
      <c r="A294" s="992"/>
      <c r="B294" s="1633"/>
      <c r="D294" s="1633"/>
      <c r="K294" s="1633"/>
      <c r="N294" s="1633"/>
      <c r="O294" s="1633"/>
      <c r="P294" s="1633"/>
      <c r="Q294" s="1633"/>
      <c r="S294" s="1633"/>
      <c r="T294" s="1633"/>
      <c r="U294" s="1633"/>
      <c r="V294" s="1633"/>
      <c r="W294" s="1633"/>
      <c r="X294" s="1633"/>
      <c r="Y294" s="1633"/>
      <c r="Z294" s="1633"/>
      <c r="AA294" s="1633"/>
      <c r="AB294" s="1633"/>
      <c r="AC294" s="1633"/>
      <c r="AD294" s="1633"/>
      <c r="AE294" s="1633"/>
      <c r="AF294" s="1633">
        <v>11</v>
      </c>
    </row>
    <row customHeight="1" ht="11.549999999999999">
      <c r="A295" s="992"/>
      <c r="B295" s="1633"/>
      <c r="D295" s="1633"/>
      <c r="K295" s="1633"/>
      <c r="N295" s="1633"/>
      <c r="O295" s="1633"/>
      <c r="P295" s="1633"/>
      <c r="Q295" s="1633"/>
      <c r="S295" s="1633"/>
      <c r="T295" s="1633"/>
      <c r="U295" s="1633"/>
      <c r="V295" s="1633"/>
      <c r="W295" s="1633"/>
      <c r="X295" s="1633"/>
      <c r="Y295" s="1633"/>
      <c r="Z295" s="1633"/>
      <c r="AA295" s="1633"/>
      <c r="AB295" s="1633"/>
      <c r="AC295" s="1633"/>
      <c r="AD295" s="1633"/>
      <c r="AE295" s="1633"/>
      <c r="AF295" s="1633">
        <v>11</v>
      </c>
    </row>
    <row customHeight="1" ht="11.549999999999999">
      <c r="A296" s="992"/>
      <c r="B296" s="1633"/>
      <c r="D296" s="1633"/>
      <c r="K296" s="1633"/>
      <c r="N296" s="1633"/>
      <c r="O296" s="1633"/>
      <c r="P296" s="1633"/>
      <c r="Q296" s="1633"/>
      <c r="S296" s="1633"/>
      <c r="T296" s="1633"/>
      <c r="U296" s="1633"/>
      <c r="V296" s="1633"/>
      <c r="W296" s="1633"/>
      <c r="X296" s="1633"/>
      <c r="Y296" s="1633"/>
      <c r="Z296" s="1633"/>
      <c r="AA296" s="1633"/>
      <c r="AB296" s="1633"/>
      <c r="AC296" s="1633"/>
      <c r="AD296" s="1633"/>
      <c r="AE296" s="1633"/>
      <c r="AF296" s="1633">
        <v>11</v>
      </c>
    </row>
    <row customHeight="1" ht="11.549999999999999">
      <c r="A297" s="992"/>
      <c r="B297" s="1633"/>
      <c r="D297" s="1633"/>
      <c r="K297" s="1633"/>
      <c r="N297" s="1633"/>
      <c r="O297" s="1633"/>
      <c r="P297" s="1633"/>
      <c r="Q297" s="1633"/>
      <c r="S297" s="1633"/>
      <c r="T297" s="1633"/>
      <c r="U297" s="1633"/>
      <c r="V297" s="1633"/>
      <c r="W297" s="1633"/>
      <c r="X297" s="1633"/>
      <c r="Y297" s="1633"/>
      <c r="Z297" s="1633"/>
      <c r="AA297" s="1633"/>
      <c r="AB297" s="1633"/>
      <c r="AC297" s="1633"/>
      <c r="AD297" s="1633"/>
      <c r="AE297" s="1633"/>
      <c r="AF297" s="1633">
        <v>11</v>
      </c>
    </row>
    <row customHeight="1" ht="11.549999999999999">
      <c r="A298" s="992"/>
      <c r="B298" s="1633"/>
      <c r="D298" s="1633"/>
      <c r="K298" s="1633"/>
      <c r="N298" s="1633"/>
      <c r="O298" s="1633"/>
      <c r="P298" s="1633"/>
      <c r="Q298" s="1633"/>
      <c r="S298" s="1633"/>
      <c r="T298" s="1633"/>
      <c r="U298" s="1633"/>
      <c r="V298" s="1633"/>
      <c r="W298" s="1633"/>
      <c r="X298" s="1633"/>
      <c r="Y298" s="1633"/>
      <c r="Z298" s="1633"/>
      <c r="AA298" s="1633"/>
      <c r="AB298" s="1633"/>
      <c r="AC298" s="1633"/>
      <c r="AD298" s="1633"/>
      <c r="AE298" s="1633"/>
      <c r="AF298" s="1633">
        <v>11</v>
      </c>
    </row>
    <row customHeight="1" ht="11.549999999999999">
      <c r="A299" s="992"/>
      <c r="B299" s="1633"/>
      <c r="D299" s="1633"/>
      <c r="K299" s="1633"/>
      <c r="N299" s="1633"/>
      <c r="O299" s="1633"/>
      <c r="P299" s="1633"/>
      <c r="Q299" s="1633"/>
      <c r="S299" s="1633"/>
      <c r="T299" s="1633"/>
      <c r="U299" s="1633"/>
      <c r="V299" s="1633"/>
      <c r="W299" s="1633"/>
      <c r="X299" s="1633"/>
      <c r="Y299" s="1633"/>
      <c r="Z299" s="1633"/>
      <c r="AA299" s="1633"/>
      <c r="AB299" s="1633"/>
      <c r="AC299" s="1633"/>
      <c r="AD299" s="1633"/>
      <c r="AE299" s="1633"/>
      <c r="AF299" s="1633">
        <v>11</v>
      </c>
    </row>
    <row customHeight="1" ht="11.549999999999999">
      <c r="A300" s="992"/>
      <c r="B300" s="1633"/>
      <c r="D300" s="1633"/>
      <c r="K300" s="1633"/>
      <c r="N300" s="1633"/>
      <c r="O300" s="1633"/>
      <c r="P300" s="1633"/>
      <c r="Q300" s="1633"/>
      <c r="S300" s="1633"/>
      <c r="T300" s="1633"/>
      <c r="U300" s="1633"/>
      <c r="V300" s="1633"/>
      <c r="W300" s="1633"/>
      <c r="X300" s="1633"/>
      <c r="Y300" s="1633"/>
      <c r="Z300" s="1633"/>
      <c r="AA300" s="1633"/>
      <c r="AB300" s="1633"/>
      <c r="AC300" s="1633"/>
      <c r="AD300" s="1633"/>
      <c r="AE300" s="1633"/>
      <c r="AF300" s="1633">
        <v>11</v>
      </c>
    </row>
    <row customHeight="1" ht="11.549999999999999">
      <c r="A301" s="992"/>
      <c r="B301" s="1633"/>
      <c r="D301" s="1633"/>
      <c r="K301" s="1633"/>
      <c r="N301" s="1633"/>
      <c r="O301" s="1633"/>
      <c r="P301" s="1633"/>
      <c r="Q301" s="1633"/>
      <c r="S301" s="1633"/>
      <c r="T301" s="1633"/>
      <c r="U301" s="1633"/>
      <c r="V301" s="1633"/>
      <c r="W301" s="1633"/>
      <c r="X301" s="1633"/>
      <c r="Y301" s="1633"/>
      <c r="Z301" s="1633"/>
      <c r="AA301" s="1633"/>
      <c r="AB301" s="1633"/>
      <c r="AC301" s="1633"/>
      <c r="AD301" s="1633"/>
      <c r="AE301" s="1633"/>
      <c r="AF301" s="1633">
        <v>11</v>
      </c>
    </row>
    <row customHeight="1" ht="11.549999999999999">
      <c r="A302" s="992"/>
      <c r="B302" s="1633"/>
      <c r="D302" s="1633"/>
      <c r="K302" s="1633"/>
      <c r="N302" s="1633"/>
      <c r="O302" s="1633"/>
      <c r="P302" s="1633"/>
      <c r="Q302" s="1633"/>
      <c r="S302" s="1633"/>
      <c r="T302" s="1633"/>
      <c r="U302" s="1633"/>
      <c r="V302" s="1633"/>
      <c r="W302" s="1633"/>
      <c r="X302" s="1633"/>
      <c r="Y302" s="1633"/>
      <c r="Z302" s="1633"/>
      <c r="AA302" s="1633"/>
      <c r="AB302" s="1633"/>
      <c r="AC302" s="1633"/>
      <c r="AD302" s="1633"/>
      <c r="AE302" s="1633"/>
      <c r="AF302" s="1633">
        <v>11</v>
      </c>
    </row>
    <row customHeight="1" ht="11.25" hidden="1">
      <c r="A303" s="989" t="s">
        <v>82</v>
      </c>
      <c r="B303" s="1162">
        <v>0</v>
      </c>
      <c r="C303" s="1638">
        <v>0</v>
      </c>
      <c r="D303" s="1637">
        <v>3</v>
      </c>
      <c r="E303" s="1633">
        <v>7</v>
      </c>
      <c r="F303" s="1633">
        <v>54</v>
      </c>
      <c r="G303" s="1633">
        <v>10</v>
      </c>
      <c r="H303" s="1633">
        <v>0</v>
      </c>
      <c r="I303" s="1633">
        <v>40</v>
      </c>
      <c r="J303" s="1633">
        <v>102</v>
      </c>
      <c r="K303" s="1162">
        <v>9</v>
      </c>
      <c r="L303" s="1638">
        <v>5</v>
      </c>
      <c r="M303" s="1638">
        <v>3</v>
      </c>
      <c r="N303" s="1162">
        <v>3</v>
      </c>
      <c r="O303" s="1162">
        <v>3</v>
      </c>
      <c r="P303" s="1162">
        <v>3</v>
      </c>
      <c r="Q303" s="1162">
        <v>3</v>
      </c>
      <c r="R303" s="1638">
        <v>10</v>
      </c>
      <c r="S303" s="1162">
        <v>34</v>
      </c>
      <c r="T303" s="1162">
        <v>9</v>
      </c>
      <c r="U303" s="546">
        <v>8</v>
      </c>
      <c r="V303" s="1162">
        <v>8</v>
      </c>
      <c r="W303" s="1162">
        <v>8</v>
      </c>
      <c r="X303" s="1162">
        <v>8</v>
      </c>
      <c r="Y303" s="1162">
        <v>8</v>
      </c>
      <c r="Z303" s="1162">
        <v>8</v>
      </c>
      <c r="AA303" s="1634">
        <v>8</v>
      </c>
      <c r="AB303" s="1634">
        <v>8</v>
      </c>
      <c r="AC303" s="1634">
        <v>8</v>
      </c>
      <c r="AD303" s="1634">
        <v>8</v>
      </c>
      <c r="AE303" s="1634">
        <v>8</v>
      </c>
      <c r="AF303" s="1633">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BA2E21-B597-A6BB-5E9F-2A4789D7EB6B}"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5" width="14.7109375" hidden="1" customWidth="1"/>
    <col min="2" max="2" style="1634" width="17.00390625" hidden="1" customWidth="1"/>
    <col min="3" max="3" style="1637" width="3.00390625" customWidth="1"/>
    <col min="4" max="4" style="1637" width="1.8515625" hidden="1" customWidth="1"/>
    <col min="5" max="6" style="1637" width="7.00390625" customWidth="1"/>
    <col min="7" max="7" style="1637" width="29.00390625" customWidth="1"/>
    <col min="8" max="8" style="1637" width="3.7109375" customWidth="1"/>
    <col min="9" max="9" style="1637" width="5.00390625" customWidth="1"/>
    <col min="10" max="11" style="1637" width="24.00390625" customWidth="1"/>
    <col min="12" max="12" style="1637" width="3.00390625" customWidth="1"/>
    <col min="13" max="13" style="1637" width="6.00390625" customWidth="1"/>
    <col min="14" max="14" style="1637" width="25.00390625" customWidth="1"/>
    <col min="15" max="18" style="1637" width="18.00390625" customWidth="1"/>
    <col min="19" max="19" style="1637" width="93.00390625" customWidth="1"/>
    <col min="20" max="20" style="1637" width="10.00390625" customWidth="1"/>
    <col min="21" max="21" style="1644" width="10.00390625" customWidth="1"/>
    <col min="22" max="22" style="1644" width="11.00390625" customWidth="1"/>
    <col min="23" max="27" style="1634" width="10.00390625" customWidth="1"/>
    <col min="28" max="83" style="1637" width="8.00390625" customWidth="1"/>
    <col min="84" max="84" style="1637" width="9.140625" hidden="1"/>
  </cols>
  <sheetData>
    <row customHeight="1" ht="22.5" hidden="1">
      <c r="CF1" s="507" t="s">
        <v>14</v>
      </c>
    </row>
    <row customHeight="1" ht="11.25" hidden="1">
      <c r="CF2" s="507">
        <v>0</v>
      </c>
    </row>
    <row customHeight="1" ht="11.25" hidden="1">
      <c r="CF3" s="507">
        <v>0</v>
      </c>
    </row>
    <row customHeight="1" ht="3">
      <c r="C4" s="511"/>
      <c r="D4" s="511"/>
      <c r="E4" s="511"/>
      <c r="F4" s="511"/>
      <c r="G4" s="511"/>
      <c r="H4" s="511"/>
      <c r="I4" s="511"/>
      <c r="J4" s="511"/>
      <c r="K4" s="168"/>
      <c r="L4" s="168"/>
      <c r="M4" s="168"/>
      <c r="CF4" s="507">
        <v>3</v>
      </c>
    </row>
    <row customHeight="1" ht="29.25">
      <c r="C5" s="511"/>
      <c r="D5" s="1059"/>
      <c r="E5" s="2239" t="str">
        <f>FHD20_NAME_FORM</f>
        <v>Форма 11. Информация о расходах на капитальный и текущий ремонт основных средств</v>
      </c>
      <c r="F5" s="2239"/>
      <c r="G5" s="2239"/>
      <c r="H5" s="2239"/>
      <c r="I5" s="2239"/>
      <c r="J5" s="2239"/>
      <c r="K5" s="2239"/>
      <c r="L5" s="615"/>
      <c r="M5" s="615"/>
      <c r="CF5" s="507">
        <v>28</v>
      </c>
    </row>
    <row s="1637" customFormat="1" customHeight="1" ht="16.8">
      <c r="A6" s="612"/>
      <c r="B6" s="761"/>
      <c r="C6" s="511"/>
      <c r="D6" s="1060"/>
      <c r="E6" s="2178" t="str">
        <f>IF(org=0,"Не определено",org)</f>
        <v>ПАО "ТГК-2"</v>
      </c>
      <c r="F6" s="2178"/>
      <c r="G6" s="2178"/>
      <c r="H6" s="2178"/>
      <c r="I6" s="2178"/>
      <c r="J6" s="2178"/>
      <c r="K6" s="2178"/>
      <c r="L6" s="615"/>
      <c r="M6" s="615"/>
      <c r="U6" s="613"/>
      <c r="V6" s="613"/>
      <c r="W6" s="614"/>
      <c r="X6" s="761"/>
      <c r="Y6" s="761"/>
      <c r="Z6" s="761"/>
      <c r="AA6" s="761"/>
      <c r="CF6" s="760">
        <v>16</v>
      </c>
    </row>
    <row customHeight="1" ht="11.549999999999999">
      <c r="C7" s="511"/>
      <c r="D7" s="511"/>
      <c r="E7" s="511"/>
      <c r="F7" s="511"/>
      <c r="G7" s="524"/>
      <c r="H7" s="524"/>
      <c r="I7" s="524"/>
      <c r="J7" s="524"/>
      <c r="K7" s="616"/>
      <c r="L7" s="616"/>
      <c r="M7" s="616"/>
      <c r="R7" s="754"/>
      <c r="CF7" s="507">
        <v>11</v>
      </c>
    </row>
    <row s="1643" customFormat="1" customHeight="1" ht="4.2">
      <c r="A8" s="623"/>
      <c r="B8" s="568"/>
      <c r="C8" s="353"/>
      <c r="D8" s="353"/>
      <c r="E8" s="353"/>
      <c r="F8" s="353"/>
      <c r="G8" s="977"/>
      <c r="H8" s="977"/>
      <c r="I8" s="977"/>
      <c r="J8" s="977"/>
      <c r="K8" s="1020"/>
      <c r="L8" s="1020"/>
      <c r="M8" s="1020"/>
      <c r="R8" s="1021"/>
      <c r="U8" s="613"/>
      <c r="V8" s="613"/>
      <c r="W8" s="624"/>
      <c r="X8" s="568"/>
      <c r="Y8" s="568"/>
      <c r="Z8" s="568"/>
      <c r="AA8" s="568"/>
      <c r="CF8" s="498">
        <v>4</v>
      </c>
    </row>
    <row customHeight="1" ht="19.95">
      <c r="D9" s="291"/>
      <c r="E9" s="2103" t="s">
        <v>300</v>
      </c>
      <c r="F9" s="2104"/>
      <c r="G9" s="2104"/>
      <c r="H9" s="2104"/>
      <c r="I9" s="2104"/>
      <c r="J9" s="2104"/>
      <c r="K9" s="2104"/>
      <c r="L9" s="2104"/>
      <c r="M9" s="2104"/>
      <c r="N9" s="2104"/>
      <c r="O9" s="2104"/>
      <c r="P9" s="2104"/>
      <c r="Q9" s="2104"/>
      <c r="R9" s="2105"/>
      <c r="S9" s="2129" t="s">
        <v>301</v>
      </c>
      <c r="T9" s="336"/>
      <c r="CF9" s="507">
        <v>19</v>
      </c>
    </row>
    <row customHeight="1" ht="48.29999999999999">
      <c r="D10" s="553" t="s">
        <v>88</v>
      </c>
      <c r="E10" s="2129" t="s">
        <v>88</v>
      </c>
      <c r="F10" s="2129"/>
      <c r="G10" s="523" t="s">
        <v>302</v>
      </c>
      <c r="H10" s="2129" t="s">
        <v>88</v>
      </c>
      <c r="I10" s="2129"/>
      <c r="J10" s="523" t="s">
        <v>602</v>
      </c>
      <c r="K10" s="523" t="s">
        <v>603</v>
      </c>
      <c r="L10" s="2129" t="s">
        <v>88</v>
      </c>
      <c r="M10" s="2129"/>
      <c r="N10" s="523" t="s">
        <v>604</v>
      </c>
      <c r="O10" s="523" t="s">
        <v>605</v>
      </c>
      <c r="P10" s="523" t="s">
        <v>606</v>
      </c>
      <c r="Q10" s="523" t="s">
        <v>607</v>
      </c>
      <c r="R10" s="523" t="s">
        <v>608</v>
      </c>
      <c r="S10" s="2129"/>
      <c r="T10" s="336"/>
      <c r="CF10" s="507">
        <v>46</v>
      </c>
    </row>
    <row s="1644" customFormat="1" customHeight="1" ht="15" hidden="1">
      <c r="A11" s="1054"/>
      <c r="D11" s="1027" t="s">
        <v>109</v>
      </c>
      <c r="E11" s="1027"/>
      <c r="F11" s="1027" t="s">
        <v>110</v>
      </c>
      <c r="G11" s="1027" t="s">
        <v>90</v>
      </c>
      <c r="H11" s="1027"/>
      <c r="I11" s="1027" t="s">
        <v>91</v>
      </c>
      <c r="J11" s="1027" t="s">
        <v>111</v>
      </c>
      <c r="K11" s="1027" t="s">
        <v>92</v>
      </c>
      <c r="L11" s="1027"/>
      <c r="M11" s="1027" t="s">
        <v>93</v>
      </c>
      <c r="N11" s="1027" t="s">
        <v>112</v>
      </c>
      <c r="O11" s="1027" t="s">
        <v>150</v>
      </c>
      <c r="P11" s="1027" t="s">
        <v>151</v>
      </c>
      <c r="Q11" s="1027" t="s">
        <v>152</v>
      </c>
      <c r="R11" s="1027" t="s">
        <v>153</v>
      </c>
      <c r="S11" s="1027" t="s">
        <v>154</v>
      </c>
      <c r="U11" s="613"/>
      <c r="V11" s="613"/>
      <c r="W11" s="613"/>
      <c r="CF11" s="513">
        <v>0</v>
      </c>
    </row>
    <row s="1637" customFormat="1" customHeight="1" ht="1.05">
      <c r="A12" s="617"/>
      <c r="B12" s="364"/>
      <c r="D12" s="550"/>
      <c r="E12" s="348"/>
      <c r="F12" s="348"/>
      <c r="Q12" s="618"/>
      <c r="R12" s="619"/>
      <c r="T12" s="620"/>
      <c r="U12" s="621"/>
      <c r="V12" s="621"/>
      <c r="W12" s="622"/>
      <c r="X12" s="364"/>
      <c r="Y12" s="364"/>
      <c r="Z12" s="364"/>
      <c r="AA12" s="364"/>
      <c r="CF12" s="511">
        <v>1</v>
      </c>
    </row>
    <row s="1643" customFormat="1" customHeight="1" ht="1.05">
      <c r="A13" s="623"/>
      <c r="B13" s="568"/>
      <c r="D13" s="550" t="s">
        <v>376</v>
      </c>
      <c r="E13" s="562"/>
      <c r="F13" s="562"/>
      <c r="G13" s="562"/>
      <c r="H13" s="562"/>
      <c r="I13" s="562"/>
      <c r="J13" s="562"/>
      <c r="K13" s="562"/>
      <c r="L13" s="562"/>
      <c r="M13" s="562"/>
      <c r="N13" s="562"/>
      <c r="O13" s="562"/>
      <c r="P13" s="562"/>
      <c r="Q13" s="562"/>
      <c r="R13" s="562"/>
      <c r="T13" s="336"/>
      <c r="U13" s="613"/>
      <c r="V13" s="613"/>
      <c r="W13" s="624"/>
      <c r="X13" s="568"/>
      <c r="Y13" s="568"/>
      <c r="Z13" s="568"/>
      <c r="AA13" s="568"/>
      <c r="CF13" s="498">
        <v>1</v>
      </c>
    </row>
    <row s="1852" customFormat="1" customHeight="1" ht="15" hidden="1">
      <c r="A14" s="625" t="s">
        <v>118</v>
      </c>
      <c r="B14" s="626"/>
      <c r="C14" s="626"/>
      <c r="D14" s="2382" t="s">
        <v>109</v>
      </c>
      <c r="E14" s="2379" t="s">
        <v>105</v>
      </c>
      <c r="F14" s="2380"/>
      <c r="G14" s="2381"/>
      <c r="H14" s="2385" t="str">
        <f>IF(A14="","",INDEX(DIFFERENTIATION_UNMERGE_VD,MATCH(A14,DIFFERENTIATION_ID_DIFF,0)))</f>
        <v>Подключение (технологическое присоединение) к системе теплоснабжения</v>
      </c>
      <c r="I14" s="2385"/>
      <c r="J14" s="2385"/>
      <c r="K14" s="2385"/>
      <c r="L14" s="2385"/>
      <c r="M14" s="2385"/>
      <c r="N14" s="2385"/>
      <c r="O14" s="2385"/>
      <c r="P14" s="2385"/>
      <c r="Q14" s="2385"/>
      <c r="R14" s="2385"/>
      <c r="S14" s="721"/>
      <c r="T14" s="718"/>
      <c r="U14" s="627"/>
      <c r="V14" s="627"/>
      <c r="W14" s="628"/>
      <c r="X14" s="628"/>
      <c r="Y14" s="628"/>
      <c r="Z14" s="628"/>
      <c r="AA14" s="629"/>
      <c r="AB14" s="630"/>
      <c r="AC14" s="2377"/>
      <c r="AD14" s="631"/>
      <c r="AE14" s="632" t="s">
        <v>22</v>
      </c>
      <c r="AF14" s="632"/>
      <c r="AG14" s="633" t="s">
        <v>609</v>
      </c>
      <c r="AH14" s="634">
        <v>3</v>
      </c>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8"/>
      <c r="BW14" s="628"/>
      <c r="BX14" s="628"/>
      <c r="BY14" s="628"/>
      <c r="BZ14" s="628"/>
      <c r="CA14" s="628"/>
      <c r="CB14" s="628"/>
      <c r="CC14" s="628"/>
      <c r="CD14" s="628"/>
      <c r="CE14" s="628"/>
      <c r="CF14" s="295">
        <v>0</v>
      </c>
    </row>
    <row s="1852" customFormat="1" customHeight="1" ht="15" hidden="1">
      <c r="A15" s="625"/>
      <c r="B15" s="626"/>
      <c r="C15" s="626"/>
      <c r="D15" s="2383"/>
      <c r="E15" s="2379" t="s">
        <v>564</v>
      </c>
      <c r="F15" s="2380"/>
      <c r="G15" s="2381"/>
      <c r="H15" s="2385" t="str">
        <f>IF(A14="","",INDEX(DIFFERENTIATION_UNMERGE_AREA,MATCH(A14,DIFFERENTIATION_ID_DIFF,0)))</f>
        <v>Территория 1</v>
      </c>
      <c r="I15" s="2385"/>
      <c r="J15" s="2385"/>
      <c r="K15" s="2385"/>
      <c r="L15" s="2385"/>
      <c r="M15" s="2385"/>
      <c r="N15" s="2385"/>
      <c r="O15" s="2385"/>
      <c r="P15" s="2385"/>
      <c r="Q15" s="2385"/>
      <c r="R15" s="2385"/>
      <c r="S15" s="721"/>
      <c r="T15" s="718"/>
      <c r="U15" s="627"/>
      <c r="V15" s="627"/>
      <c r="W15" s="628"/>
      <c r="X15" s="628"/>
      <c r="Y15" s="628"/>
      <c r="Z15" s="628"/>
      <c r="AA15" s="629"/>
      <c r="AB15" s="630"/>
      <c r="AC15" s="2377"/>
      <c r="AD15" s="631"/>
      <c r="AE15" s="632"/>
      <c r="AF15" s="632"/>
      <c r="AG15" s="633"/>
      <c r="AH15" s="634"/>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8"/>
      <c r="BW15" s="628"/>
      <c r="BX15" s="628"/>
      <c r="BY15" s="628"/>
      <c r="BZ15" s="628"/>
      <c r="CA15" s="628"/>
      <c r="CB15" s="628"/>
      <c r="CC15" s="628"/>
      <c r="CD15" s="628"/>
      <c r="CE15" s="628"/>
      <c r="CF15" s="295">
        <v>0</v>
      </c>
    </row>
    <row s="1852" customFormat="1" customHeight="1" ht="15" hidden="1">
      <c r="A16" s="625"/>
      <c r="B16" s="626"/>
      <c r="C16" s="626"/>
      <c r="D16" s="2383"/>
      <c r="E16" s="2379" t="s">
        <v>565</v>
      </c>
      <c r="F16" s="2380"/>
      <c r="G16" s="2381"/>
      <c r="H16" s="2385" t="str">
        <f>IF(A14="","",INDEX(DIFFERENTIATION_UNMERGE_SYSTEM,MATCH(A14,DIFFERENTIATION_ID_DIFF,0)))</f>
        <v>Вологодская ТЭЦ</v>
      </c>
      <c r="I16" s="2385"/>
      <c r="J16" s="2385"/>
      <c r="K16" s="2385"/>
      <c r="L16" s="2385"/>
      <c r="M16" s="2385"/>
      <c r="N16" s="2385"/>
      <c r="O16" s="2385"/>
      <c r="P16" s="2385"/>
      <c r="Q16" s="2385"/>
      <c r="R16" s="2385"/>
      <c r="S16" s="721"/>
      <c r="T16" s="718"/>
      <c r="U16" s="627"/>
      <c r="V16" s="627"/>
      <c r="W16" s="628"/>
      <c r="X16" s="628"/>
      <c r="Y16" s="628"/>
      <c r="Z16" s="628"/>
      <c r="AA16" s="629"/>
      <c r="AB16" s="630"/>
      <c r="AC16" s="2377"/>
      <c r="AD16" s="631"/>
      <c r="AE16" s="632"/>
      <c r="AF16" s="632"/>
      <c r="AG16" s="633"/>
      <c r="AH16" s="634"/>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8"/>
      <c r="BW16" s="628"/>
      <c r="BX16" s="628"/>
      <c r="BY16" s="628"/>
      <c r="BZ16" s="628"/>
      <c r="CA16" s="628"/>
      <c r="CB16" s="628"/>
      <c r="CC16" s="628"/>
      <c r="CD16" s="628"/>
      <c r="CE16" s="628"/>
      <c r="CF16" s="295">
        <v>0</v>
      </c>
    </row>
    <row s="1852" customFormat="1" customHeight="1" ht="22.5" hidden="1">
      <c r="A17" s="635"/>
      <c r="B17" s="419"/>
      <c r="C17" s="414"/>
      <c r="D17" s="2383"/>
      <c r="E17" s="2378" t="s">
        <v>610</v>
      </c>
      <c r="F17" s="2378"/>
      <c r="G17" s="2378"/>
      <c r="H17" s="2378"/>
      <c r="I17" s="2378"/>
      <c r="J17" s="2378"/>
      <c r="K17" s="2378"/>
      <c r="L17" s="2378"/>
      <c r="M17" s="2378"/>
      <c r="N17" s="2378"/>
      <c r="O17" s="2378"/>
      <c r="P17" s="2378"/>
      <c r="Q17" s="560">
        <f>SUMIF(T18:T19,"i",Q18:Q19)</f>
        <v>0</v>
      </c>
      <c r="R17" s="1019"/>
      <c r="S17" s="899" t="s">
        <v>611</v>
      </c>
      <c r="T17" s="719" t="s">
        <v>612</v>
      </c>
      <c r="U17" s="2376">
        <v>1</v>
      </c>
      <c r="V17" s="2376" t="str">
        <f>INDEX(B_FHD_FLAG_INDEX_1,1,MATCH(A14,B_FHD_FLAG_DIFFERENTIATION,0))</f>
        <v>отсутствует</v>
      </c>
      <c r="W17" s="419"/>
      <c r="X17" s="419"/>
      <c r="Y17" s="419"/>
      <c r="Z17" s="419"/>
      <c r="AA17" s="513"/>
      <c r="AB17" s="419"/>
      <c r="AC17" s="2377"/>
      <c r="AD17" s="631"/>
      <c r="AE17" s="419"/>
      <c r="AF17" s="419"/>
      <c r="AG17" s="513"/>
      <c r="AH17" s="513"/>
      <c r="AI17" s="513"/>
      <c r="AJ17" s="513"/>
      <c r="AK17" s="513"/>
      <c r="AL17" s="513"/>
      <c r="AM17" s="513"/>
      <c r="AN17" s="513"/>
      <c r="AO17" s="513"/>
      <c r="AP17" s="513"/>
      <c r="AQ17" s="513"/>
      <c r="AR17" s="513"/>
      <c r="AS17" s="513"/>
      <c r="AT17" s="513"/>
      <c r="AU17" s="513"/>
      <c r="AV17" s="513"/>
      <c r="AW17" s="513"/>
      <c r="AX17" s="513"/>
      <c r="AY17" s="513"/>
      <c r="AZ17" s="513"/>
      <c r="BA17" s="513"/>
      <c r="BB17" s="513"/>
      <c r="BC17" s="513"/>
      <c r="BD17" s="513"/>
      <c r="BE17" s="513"/>
      <c r="BF17" s="513"/>
      <c r="BG17" s="513"/>
      <c r="BH17" s="513"/>
      <c r="BI17" s="513"/>
      <c r="BJ17" s="513"/>
      <c r="BK17" s="513"/>
      <c r="BL17" s="513"/>
      <c r="BM17" s="513"/>
      <c r="BN17" s="513"/>
      <c r="BO17" s="513"/>
      <c r="BP17" s="513"/>
      <c r="BQ17" s="513"/>
      <c r="BR17" s="513"/>
      <c r="BS17" s="513"/>
      <c r="BT17" s="513"/>
      <c r="BU17" s="513"/>
      <c r="BV17" s="419"/>
      <c r="BW17" s="419"/>
      <c r="BX17" s="419"/>
      <c r="BY17" s="419"/>
      <c r="BZ17" s="419"/>
      <c r="CA17" s="419"/>
      <c r="CB17" s="419"/>
      <c r="CC17" s="419"/>
      <c r="CD17" s="419"/>
      <c r="CE17" s="419"/>
      <c r="CF17" s="295">
        <v>0</v>
      </c>
    </row>
    <row s="1852" customFormat="1" customHeight="1" ht="11.25" hidden="1">
      <c r="A18" s="636"/>
      <c r="B18" s="513"/>
      <c r="C18" s="513"/>
      <c r="D18" s="2383"/>
      <c r="E18" s="637"/>
      <c r="F18" s="637">
        <v>0</v>
      </c>
      <c r="G18" s="637"/>
      <c r="H18" s="637"/>
      <c r="I18" s="637"/>
      <c r="J18" s="637"/>
      <c r="K18" s="637"/>
      <c r="L18" s="637"/>
      <c r="M18" s="637"/>
      <c r="N18" s="637"/>
      <c r="O18" s="637"/>
      <c r="P18" s="637"/>
      <c r="Q18" s="637"/>
      <c r="R18" s="637"/>
      <c r="S18" s="638"/>
      <c r="T18" s="720"/>
      <c r="U18" s="2376"/>
      <c r="V18" s="2376"/>
      <c r="W18" s="513"/>
      <c r="X18" s="513"/>
      <c r="Y18" s="513"/>
      <c r="Z18" s="513"/>
      <c r="AA18" s="513"/>
      <c r="AB18" s="419"/>
      <c r="AC18" s="2377"/>
      <c r="AD18" s="631"/>
      <c r="AE18" s="419"/>
      <c r="AF18" s="419"/>
      <c r="AG18" s="513"/>
      <c r="AH18" s="513"/>
      <c r="AI18" s="513"/>
      <c r="AJ18" s="513"/>
      <c r="AK18" s="513"/>
      <c r="AL18" s="513"/>
      <c r="AM18" s="513"/>
      <c r="AN18" s="513"/>
      <c r="AO18" s="513"/>
      <c r="AP18" s="513"/>
      <c r="AQ18" s="513"/>
      <c r="AR18" s="513"/>
      <c r="AS18" s="513"/>
      <c r="AT18" s="513"/>
      <c r="AU18" s="513"/>
      <c r="AV18" s="513"/>
      <c r="AW18" s="513"/>
      <c r="AX18" s="513"/>
      <c r="AY18" s="513"/>
      <c r="AZ18" s="513"/>
      <c r="BA18" s="513"/>
      <c r="BB18" s="513"/>
      <c r="BC18" s="513"/>
      <c r="BD18" s="513"/>
      <c r="BE18" s="513"/>
      <c r="BF18" s="513"/>
      <c r="BG18" s="513"/>
      <c r="BH18" s="513"/>
      <c r="BI18" s="513"/>
      <c r="BJ18" s="513"/>
      <c r="BK18" s="513"/>
      <c r="BL18" s="513"/>
      <c r="BM18" s="513"/>
      <c r="BN18" s="513"/>
      <c r="BO18" s="513"/>
      <c r="BP18" s="513"/>
      <c r="BQ18" s="513"/>
      <c r="BR18" s="513"/>
      <c r="BS18" s="513"/>
      <c r="BT18" s="513"/>
      <c r="BU18" s="513"/>
      <c r="BV18" s="513"/>
      <c r="BW18" s="513"/>
      <c r="BX18" s="513"/>
      <c r="BY18" s="513"/>
      <c r="BZ18" s="513"/>
      <c r="CA18" s="513"/>
      <c r="CB18" s="513"/>
      <c r="CC18" s="513"/>
      <c r="CD18" s="513"/>
      <c r="CE18" s="513"/>
      <c r="CF18" s="295">
        <v>0</v>
      </c>
    </row>
    <row s="1852" customFormat="1" customHeight="1" ht="11.25" hidden="1">
      <c r="A19" s="635"/>
      <c r="B19" s="419"/>
      <c r="C19" s="414"/>
      <c r="D19" s="2383"/>
      <c r="E19" s="651" t="s">
        <v>22</v>
      </c>
      <c r="F19" s="652" t="s">
        <v>22</v>
      </c>
      <c r="G19" s="652" t="s">
        <v>22</v>
      </c>
      <c r="H19" s="653" t="s">
        <v>22</v>
      </c>
      <c r="I19" s="653"/>
      <c r="J19" s="653"/>
      <c r="K19" s="653"/>
      <c r="L19" s="653"/>
      <c r="M19" s="653"/>
      <c r="N19" s="653"/>
      <c r="O19" s="653"/>
      <c r="P19" s="653"/>
      <c r="Q19" s="653"/>
      <c r="R19" s="654"/>
      <c r="S19" s="1022"/>
      <c r="T19" s="720"/>
      <c r="U19" s="2376"/>
      <c r="V19" s="2376"/>
      <c r="W19" s="419"/>
      <c r="X19" s="419"/>
      <c r="Y19" s="419"/>
      <c r="Z19" s="419"/>
      <c r="AA19" s="513"/>
      <c r="AB19" s="419"/>
      <c r="AC19" s="2377"/>
      <c r="AD19" s="631"/>
      <c r="AE19" s="419"/>
      <c r="AF19" s="419"/>
      <c r="AG19" s="513"/>
      <c r="AH19" s="513"/>
      <c r="AI19" s="513"/>
      <c r="AJ19" s="513"/>
      <c r="AK19" s="513"/>
      <c r="AL19" s="513"/>
      <c r="AM19" s="513"/>
      <c r="AN19" s="513"/>
      <c r="AO19" s="513"/>
      <c r="AP19" s="513"/>
      <c r="AQ19" s="513"/>
      <c r="AR19" s="513"/>
      <c r="AS19" s="513"/>
      <c r="AT19" s="513"/>
      <c r="AU19" s="513"/>
      <c r="AV19" s="513"/>
      <c r="AW19" s="513"/>
      <c r="AX19" s="513"/>
      <c r="AY19" s="513"/>
      <c r="AZ19" s="513"/>
      <c r="BA19" s="513"/>
      <c r="BB19" s="513"/>
      <c r="BC19" s="513"/>
      <c r="BD19" s="513"/>
      <c r="BE19" s="513"/>
      <c r="BF19" s="513"/>
      <c r="BG19" s="513"/>
      <c r="BH19" s="513"/>
      <c r="BI19" s="513"/>
      <c r="BJ19" s="513"/>
      <c r="BK19" s="513"/>
      <c r="BL19" s="513"/>
      <c r="BM19" s="513"/>
      <c r="BN19" s="513"/>
      <c r="BO19" s="513"/>
      <c r="BP19" s="513"/>
      <c r="BQ19" s="513"/>
      <c r="BR19" s="513"/>
      <c r="BS19" s="513"/>
      <c r="BT19" s="513"/>
      <c r="BU19" s="513"/>
      <c r="BV19" s="419"/>
      <c r="BW19" s="419"/>
      <c r="BX19" s="419"/>
      <c r="BY19" s="419"/>
      <c r="BZ19" s="419"/>
      <c r="CA19" s="419"/>
      <c r="CB19" s="419"/>
      <c r="CC19" s="419"/>
      <c r="CD19" s="419"/>
      <c r="CE19" s="419"/>
      <c r="CF19" s="295">
        <v>0</v>
      </c>
    </row>
    <row s="1852" customFormat="1" customHeight="1" ht="22.5" hidden="1">
      <c r="A20" s="635"/>
      <c r="B20" s="419"/>
      <c r="C20" s="414"/>
      <c r="D20" s="2383"/>
      <c r="E20" s="2378" t="s">
        <v>613</v>
      </c>
      <c r="F20" s="2378"/>
      <c r="G20" s="2378"/>
      <c r="H20" s="2378"/>
      <c r="I20" s="2378"/>
      <c r="J20" s="2378"/>
      <c r="K20" s="2378"/>
      <c r="L20" s="2378"/>
      <c r="M20" s="2378"/>
      <c r="N20" s="2378"/>
      <c r="O20" s="2378"/>
      <c r="P20" s="2378"/>
      <c r="Q20" s="560">
        <f>SUMIF(T21:T22,"i",Q21:Q22)</f>
        <v>0</v>
      </c>
      <c r="R20" s="1019"/>
      <c r="S20" s="711" t="s">
        <v>614</v>
      </c>
      <c r="T20" s="719" t="s">
        <v>612</v>
      </c>
      <c r="U20" s="2376">
        <v>2</v>
      </c>
      <c r="V20" s="2376" t="str">
        <f>INDEX(B_FHD_FLAG_INDEX_2,1,MATCH(A14,B_FHD_FLAG_DIFFERENTIATION,0))</f>
        <v>отсутствует</v>
      </c>
      <c r="W20" s="419"/>
      <c r="X20" s="419"/>
      <c r="Y20" s="419"/>
      <c r="Z20" s="419"/>
      <c r="AA20" s="513"/>
      <c r="AB20" s="419"/>
      <c r="AC20" s="708"/>
      <c r="AD20" s="631"/>
      <c r="AE20" s="419"/>
      <c r="AF20" s="419"/>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513"/>
      <c r="BI20" s="513"/>
      <c r="BJ20" s="513"/>
      <c r="BK20" s="513"/>
      <c r="BL20" s="513"/>
      <c r="BM20" s="513"/>
      <c r="BN20" s="513"/>
      <c r="BO20" s="513"/>
      <c r="BP20" s="513"/>
      <c r="BQ20" s="513"/>
      <c r="BR20" s="513"/>
      <c r="BS20" s="513"/>
      <c r="BT20" s="513"/>
      <c r="BU20" s="513"/>
      <c r="BV20" s="419"/>
      <c r="BW20" s="419"/>
      <c r="BX20" s="419"/>
      <c r="BY20" s="419"/>
      <c r="BZ20" s="419"/>
      <c r="CA20" s="419"/>
      <c r="CB20" s="419"/>
      <c r="CC20" s="419"/>
      <c r="CD20" s="419"/>
      <c r="CE20" s="419"/>
      <c r="CF20" s="295">
        <v>0</v>
      </c>
    </row>
    <row s="1852" customFormat="1" customHeight="1" ht="11.25" hidden="1">
      <c r="A21" s="710"/>
      <c r="B21" s="513"/>
      <c r="C21" s="513"/>
      <c r="D21" s="2383"/>
      <c r="E21" s="637"/>
      <c r="F21" s="637">
        <v>0</v>
      </c>
      <c r="G21" s="637"/>
      <c r="H21" s="637"/>
      <c r="I21" s="637"/>
      <c r="J21" s="637"/>
      <c r="K21" s="637"/>
      <c r="L21" s="637"/>
      <c r="M21" s="637"/>
      <c r="N21" s="637"/>
      <c r="O21" s="637"/>
      <c r="P21" s="637"/>
      <c r="Q21" s="637"/>
      <c r="R21" s="637"/>
      <c r="S21" s="638"/>
      <c r="T21" s="720"/>
      <c r="U21" s="2376"/>
      <c r="V21" s="2376"/>
      <c r="W21" s="513"/>
      <c r="X21" s="513"/>
      <c r="Y21" s="513"/>
      <c r="Z21" s="513"/>
      <c r="AA21" s="513"/>
      <c r="AB21" s="419"/>
      <c r="AC21" s="708"/>
      <c r="AD21" s="631"/>
      <c r="AE21" s="419"/>
      <c r="AF21" s="419"/>
      <c r="AG21" s="513"/>
      <c r="AH21" s="513"/>
      <c r="AI21" s="513"/>
      <c r="AJ21" s="513"/>
      <c r="AK21" s="513"/>
      <c r="AL21" s="513"/>
      <c r="AM21" s="513"/>
      <c r="AN21" s="513"/>
      <c r="AO21" s="513"/>
      <c r="AP21" s="513"/>
      <c r="AQ21" s="513"/>
      <c r="AR21" s="513"/>
      <c r="AS21" s="513"/>
      <c r="AT21" s="513"/>
      <c r="AU21" s="513"/>
      <c r="AV21" s="513"/>
      <c r="AW21" s="513"/>
      <c r="AX21" s="513"/>
      <c r="AY21" s="513"/>
      <c r="AZ21" s="513"/>
      <c r="BA21" s="513"/>
      <c r="BB21" s="513"/>
      <c r="BC21" s="513"/>
      <c r="BD21" s="513"/>
      <c r="BE21" s="513"/>
      <c r="BF21" s="513"/>
      <c r="BG21" s="513"/>
      <c r="BH21" s="513"/>
      <c r="BI21" s="513"/>
      <c r="BJ21" s="513"/>
      <c r="BK21" s="513"/>
      <c r="BL21" s="513"/>
      <c r="BM21" s="513"/>
      <c r="BN21" s="513"/>
      <c r="BO21" s="513"/>
      <c r="BP21" s="513"/>
      <c r="BQ21" s="513"/>
      <c r="BR21" s="513"/>
      <c r="BS21" s="513"/>
      <c r="BT21" s="513"/>
      <c r="BU21" s="513"/>
      <c r="BV21" s="513"/>
      <c r="BW21" s="513"/>
      <c r="BX21" s="513"/>
      <c r="BY21" s="513"/>
      <c r="BZ21" s="513"/>
      <c r="CA21" s="513"/>
      <c r="CB21" s="513"/>
      <c r="CC21" s="513"/>
      <c r="CD21" s="513"/>
      <c r="CE21" s="513"/>
      <c r="CF21" s="295">
        <v>0</v>
      </c>
    </row>
    <row s="1852" customFormat="1" customHeight="1" ht="11.25" hidden="1">
      <c r="A22" s="635"/>
      <c r="B22" s="419"/>
      <c r="C22" s="414"/>
      <c r="D22" s="2384"/>
      <c r="E22" s="651" t="s">
        <v>22</v>
      </c>
      <c r="F22" s="652" t="s">
        <v>22</v>
      </c>
      <c r="G22" s="652" t="s">
        <v>22</v>
      </c>
      <c r="H22" s="653" t="s">
        <v>22</v>
      </c>
      <c r="I22" s="653"/>
      <c r="J22" s="653"/>
      <c r="K22" s="653"/>
      <c r="L22" s="653"/>
      <c r="M22" s="653"/>
      <c r="N22" s="653"/>
      <c r="O22" s="653"/>
      <c r="P22" s="653"/>
      <c r="Q22" s="653"/>
      <c r="R22" s="654"/>
      <c r="S22" s="1022"/>
      <c r="T22" s="720"/>
      <c r="U22" s="2376"/>
      <c r="V22" s="2376"/>
      <c r="W22" s="419"/>
      <c r="X22" s="419"/>
      <c r="Y22" s="419"/>
      <c r="Z22" s="419"/>
      <c r="AA22" s="513"/>
      <c r="AB22" s="419"/>
      <c r="AC22" s="708"/>
      <c r="AD22" s="631"/>
      <c r="AE22" s="419"/>
      <c r="AF22" s="419"/>
      <c r="AG22" s="513"/>
      <c r="AH22" s="513"/>
      <c r="AI22" s="513"/>
      <c r="AJ22" s="513"/>
      <c r="AK22" s="513"/>
      <c r="AL22" s="513"/>
      <c r="AM22" s="513"/>
      <c r="AN22" s="513"/>
      <c r="AO22" s="513"/>
      <c r="AP22" s="513"/>
      <c r="AQ22" s="513"/>
      <c r="AR22" s="513"/>
      <c r="AS22" s="513"/>
      <c r="AT22" s="513"/>
      <c r="AU22" s="513"/>
      <c r="AV22" s="513"/>
      <c r="AW22" s="513"/>
      <c r="AX22" s="513"/>
      <c r="AY22" s="513"/>
      <c r="AZ22" s="513"/>
      <c r="BA22" s="513"/>
      <c r="BB22" s="513"/>
      <c r="BC22" s="513"/>
      <c r="BD22" s="513"/>
      <c r="BE22" s="513"/>
      <c r="BF22" s="513"/>
      <c r="BG22" s="513"/>
      <c r="BH22" s="513"/>
      <c r="BI22" s="513"/>
      <c r="BJ22" s="513"/>
      <c r="BK22" s="513"/>
      <c r="BL22" s="513"/>
      <c r="BM22" s="513"/>
      <c r="BN22" s="513"/>
      <c r="BO22" s="513"/>
      <c r="BP22" s="513"/>
      <c r="BQ22" s="513"/>
      <c r="BR22" s="513"/>
      <c r="BS22" s="513"/>
      <c r="BT22" s="513"/>
      <c r="BU22" s="513"/>
      <c r="BV22" s="419"/>
      <c r="BW22" s="419"/>
      <c r="BX22" s="419"/>
      <c r="BY22" s="419"/>
      <c r="BZ22" s="419"/>
      <c r="CA22" s="419"/>
      <c r="CB22" s="419"/>
      <c r="CC22" s="419"/>
      <c r="CD22" s="419"/>
      <c r="CE22" s="419"/>
      <c r="CF22" s="295">
        <v>0</v>
      </c>
    </row>
    <row customHeight="1" ht="19.95">
      <c r="D23" s="1049"/>
      <c r="E23" s="1049"/>
      <c r="F23" s="1049"/>
      <c r="G23" s="1049"/>
      <c r="H23" s="1049"/>
      <c r="I23" s="1049"/>
      <c r="J23" s="1049"/>
      <c r="K23" s="1049"/>
      <c r="L23" s="1049"/>
      <c r="M23" s="1049"/>
      <c r="N23" s="1049"/>
      <c r="O23" s="1049"/>
      <c r="P23" s="1049"/>
      <c r="Q23" s="1049"/>
      <c r="R23" s="1049"/>
      <c r="S23" s="1049"/>
      <c r="T23" s="336"/>
      <c r="CF23" s="507">
        <v>19</v>
      </c>
    </row>
    <row customHeight="1" ht="11.549999999999999">
      <c r="D24" s="511"/>
      <c r="CF24" s="507">
        <v>11</v>
      </c>
    </row>
    <row customHeight="1" ht="11.549999999999999">
      <c r="D25" s="656"/>
      <c r="E25" s="656"/>
      <c r="F25" s="656"/>
      <c r="G25" s="657"/>
      <c r="CF25" s="507">
        <v>11</v>
      </c>
    </row>
    <row customHeight="1" ht="11.549999999999999">
      <c r="CF26" s="507">
        <v>11</v>
      </c>
    </row>
    <row customHeight="1" ht="11.549999999999999">
      <c r="D27" s="658"/>
      <c r="E27" s="2386"/>
      <c r="F27" s="2386"/>
      <c r="G27" s="2386"/>
      <c r="H27" s="2386"/>
      <c r="I27" s="2386"/>
      <c r="J27" s="2386"/>
      <c r="K27" s="2386"/>
      <c r="L27" s="2386"/>
      <c r="M27" s="2386"/>
      <c r="N27" s="2386"/>
      <c r="O27" s="2386"/>
      <c r="P27" s="2386"/>
      <c r="Q27" s="2386"/>
      <c r="R27" s="2386"/>
      <c r="CF27" s="507">
        <v>11</v>
      </c>
    </row>
    <row customHeight="1" ht="11.549999999999999">
      <c r="F28" s="760"/>
      <c r="G28" s="760"/>
      <c r="CF28" s="507">
        <v>11</v>
      </c>
    </row>
    <row customHeight="1" ht="11.25" hidden="1">
      <c r="A29" s="612" t="s">
        <v>82</v>
      </c>
      <c r="B29" s="451">
        <v>0</v>
      </c>
      <c r="C29" s="507">
        <v>3</v>
      </c>
      <c r="D29" s="507">
        <v>0</v>
      </c>
      <c r="E29" s="507">
        <v>7</v>
      </c>
      <c r="F29" s="507">
        <v>7</v>
      </c>
      <c r="G29" s="507">
        <v>29</v>
      </c>
      <c r="H29" s="507">
        <v>3</v>
      </c>
      <c r="I29" s="507">
        <v>5</v>
      </c>
      <c r="J29" s="507">
        <v>24</v>
      </c>
      <c r="K29" s="507">
        <v>24</v>
      </c>
      <c r="L29" s="507">
        <v>3</v>
      </c>
      <c r="M29" s="507">
        <v>6</v>
      </c>
      <c r="N29" s="507">
        <v>25</v>
      </c>
      <c r="O29" s="507">
        <v>18</v>
      </c>
      <c r="P29" s="507">
        <v>18</v>
      </c>
      <c r="Q29" s="507">
        <v>18</v>
      </c>
      <c r="R29" s="507">
        <v>18</v>
      </c>
      <c r="S29" s="507">
        <v>93</v>
      </c>
      <c r="T29" s="507">
        <v>10</v>
      </c>
      <c r="U29" s="613">
        <v>10</v>
      </c>
      <c r="V29" s="613">
        <v>11</v>
      </c>
      <c r="W29" s="614">
        <v>10</v>
      </c>
      <c r="X29" s="451">
        <v>10</v>
      </c>
      <c r="Y29" s="451">
        <v>10</v>
      </c>
      <c r="Z29" s="451">
        <v>10</v>
      </c>
      <c r="AA29" s="451">
        <v>10</v>
      </c>
      <c r="AB29" s="507">
        <v>8</v>
      </c>
      <c r="AC29" s="507">
        <v>8</v>
      </c>
      <c r="AD29" s="507">
        <v>8</v>
      </c>
      <c r="AE29" s="507">
        <v>8</v>
      </c>
      <c r="AF29" s="507">
        <v>8</v>
      </c>
      <c r="AG29" s="507">
        <v>8</v>
      </c>
      <c r="AH29" s="507">
        <v>8</v>
      </c>
      <c r="AI29" s="507">
        <v>8</v>
      </c>
      <c r="AJ29" s="507">
        <v>8</v>
      </c>
      <c r="AK29" s="507">
        <v>8</v>
      </c>
      <c r="AL29" s="507">
        <v>8</v>
      </c>
      <c r="AM29" s="507">
        <v>8</v>
      </c>
      <c r="AN29" s="507">
        <v>8</v>
      </c>
      <c r="AO29" s="507">
        <v>8</v>
      </c>
      <c r="AP29" s="507">
        <v>8</v>
      </c>
      <c r="AQ29" s="507">
        <v>8</v>
      </c>
      <c r="AR29" s="507">
        <v>8</v>
      </c>
      <c r="AS29" s="507">
        <v>8</v>
      </c>
      <c r="AT29" s="507">
        <v>8</v>
      </c>
      <c r="AU29" s="507">
        <v>8</v>
      </c>
      <c r="AV29" s="507">
        <v>8</v>
      </c>
      <c r="AW29" s="507">
        <v>8</v>
      </c>
      <c r="AX29" s="507">
        <v>8</v>
      </c>
      <c r="AY29" s="507">
        <v>8</v>
      </c>
      <c r="AZ29" s="507">
        <v>8</v>
      </c>
      <c r="BA29" s="507">
        <v>8</v>
      </c>
      <c r="BB29" s="507">
        <v>8</v>
      </c>
      <c r="BC29" s="507">
        <v>8</v>
      </c>
      <c r="BD29" s="507">
        <v>8</v>
      </c>
      <c r="BE29" s="507">
        <v>8</v>
      </c>
      <c r="BF29" s="507">
        <v>8</v>
      </c>
      <c r="BG29" s="507">
        <v>8</v>
      </c>
      <c r="BH29" s="507">
        <v>8</v>
      </c>
      <c r="BI29" s="507">
        <v>8</v>
      </c>
      <c r="BJ29" s="507">
        <v>8</v>
      </c>
      <c r="BK29" s="507">
        <v>8</v>
      </c>
      <c r="BL29" s="507">
        <v>8</v>
      </c>
      <c r="BM29" s="507">
        <v>8</v>
      </c>
      <c r="BN29" s="507">
        <v>8</v>
      </c>
      <c r="BO29" s="507">
        <v>8</v>
      </c>
      <c r="BP29" s="507">
        <v>8</v>
      </c>
      <c r="BQ29" s="507">
        <v>8</v>
      </c>
      <c r="BR29" s="507">
        <v>8</v>
      </c>
      <c r="BS29" s="507">
        <v>8</v>
      </c>
      <c r="BT29" s="507">
        <v>8</v>
      </c>
      <c r="BU29" s="507">
        <v>8</v>
      </c>
      <c r="BV29" s="507">
        <v>8</v>
      </c>
      <c r="BW29" s="507">
        <v>8</v>
      </c>
      <c r="BX29" s="507">
        <v>8</v>
      </c>
      <c r="BY29" s="507">
        <v>8</v>
      </c>
      <c r="BZ29" s="507">
        <v>8</v>
      </c>
      <c r="CA29" s="507">
        <v>8</v>
      </c>
      <c r="CB29" s="507">
        <v>8</v>
      </c>
      <c r="CC29" s="507">
        <v>8</v>
      </c>
      <c r="CD29" s="507">
        <v>8</v>
      </c>
      <c r="CE29" s="507">
        <v>8</v>
      </c>
      <c r="CF29" s="507">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F91FEA-3FDC-BEDE-7252-F17CE62044F2}"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9" width="10.7109375" hidden="1" customWidth="1"/>
    <col min="6" max="6" style="1368" width="16.8515625" hidden="1" customWidth="1"/>
    <col min="7" max="7" style="1644" width="5.57421875" hidden="1" customWidth="1"/>
    <col min="8" max="8" style="1637" width="3.00390625" customWidth="1"/>
    <col min="9" max="9" style="1637" width="7.00390625" customWidth="1"/>
    <col min="10" max="10" style="1637" width="56.00390625" customWidth="1"/>
    <col min="11" max="11" style="1637" width="10.00390625" customWidth="1"/>
    <col min="12" max="12" style="1637" width="40.57421875" hidden="1" customWidth="1"/>
    <col min="13" max="13" style="1637" width="40.7109375" customWidth="1"/>
    <col min="14" max="14" style="1368" width="9.7109375" hidden="1" customWidth="1"/>
    <col min="15" max="15" style="1637" width="102.00390625" customWidth="1"/>
    <col min="16" max="16" style="1368" width="9.00390625" customWidth="1"/>
    <col min="17" max="17" style="1644" width="5.00390625" customWidth="1"/>
    <col min="18" max="18" style="1644" width="3.00390625" customWidth="1"/>
    <col min="19" max="22" style="1368" width="3.00390625" customWidth="1"/>
    <col min="23" max="23" style="1644" width="10.00390625" customWidth="1"/>
    <col min="24" max="24" style="1368" width="34.00390625" customWidth="1"/>
    <col min="25" max="25" style="1368" width="9.00390625" customWidth="1"/>
    <col min="26" max="26" style="738" width="8.00390625" customWidth="1"/>
    <col min="27" max="31" style="1368" width="8.00390625" customWidth="1"/>
    <col min="32" max="36" style="1634" width="8.00390625" customWidth="1"/>
    <col min="37" max="37" style="1637" width="5.421875" hidden="1" customWidth="1"/>
  </cols>
  <sheetData>
    <row s="1368" customFormat="1" customHeight="1" ht="33.75" hidden="1">
      <c r="A1" s="989"/>
      <c r="B1" s="989"/>
      <c r="C1" s="989"/>
      <c r="D1" s="989"/>
      <c r="E1" s="989"/>
      <c r="G1" s="1638"/>
      <c r="H1" s="880"/>
      <c r="L1" s="1368">
        <v>4</v>
      </c>
      <c r="M1" s="1368">
        <v>4</v>
      </c>
      <c r="Q1" s="1638"/>
      <c r="R1" s="1638"/>
      <c r="W1" s="1638"/>
      <c r="AK1" s="1368" t="s">
        <v>14</v>
      </c>
    </row>
    <row s="1368" customFormat="1" customHeight="1" ht="78.75" hidden="1">
      <c r="A2" s="989"/>
      <c r="B2" s="2055" t="s">
        <v>615</v>
      </c>
      <c r="C2" s="2055" t="s">
        <v>616</v>
      </c>
      <c r="D2" s="2054" t="s">
        <v>617</v>
      </c>
      <c r="E2" s="2058">
        <f>RIGHT(I2,LEN(I2)-SEARCH("#",SUBSTITUTE(I2,".","#",LEN(I2)-LEN(SUBSTITUTE(I2,".","")))))</f>
      </c>
      <c r="F2" s="2060">
        <f>J2</f>
        <v>0</v>
      </c>
      <c r="G2" s="1638"/>
      <c r="H2" s="2061"/>
      <c r="I2" s="2051"/>
      <c r="J2" s="542"/>
      <c r="K2" s="2021" t="s">
        <v>556</v>
      </c>
      <c r="L2" s="753"/>
      <c r="M2" s="753"/>
      <c r="N2" s="545"/>
      <c r="O2" s="1527" t="s">
        <v>557</v>
      </c>
      <c r="P2" s="545"/>
      <c r="Q2" s="1638"/>
      <c r="R2" s="1638"/>
      <c r="W2" s="1638"/>
      <c r="Z2" s="546"/>
      <c r="AF2" s="1634"/>
      <c r="AG2" s="1634"/>
      <c r="AH2" s="1634"/>
      <c r="AI2" s="1634"/>
      <c r="AJ2" s="1634"/>
      <c r="AK2" s="1368">
        <v>0</v>
      </c>
    </row>
    <row customHeight="1" ht="11.25" hidden="1">
      <c r="E3" s="2053" t="s">
        <v>618</v>
      </c>
      <c r="L3" s="1633">
        <f>0</f>
        <v>0</v>
      </c>
      <c r="M3" s="1633">
        <v>1</v>
      </c>
      <c r="AK3" s="1633">
        <v>0</v>
      </c>
    </row>
    <row s="1634" customFormat="1" customHeight="1" ht="11.25" hidden="1">
      <c r="A4" s="989"/>
      <c r="B4" s="989"/>
      <c r="C4" s="989"/>
      <c r="E4" s="989"/>
      <c r="F4" s="1368"/>
      <c r="G4" s="1638"/>
      <c r="H4" s="622"/>
      <c r="N4" s="1368"/>
      <c r="O4" s="1634">
        <v>4</v>
      </c>
      <c r="P4" s="1368"/>
      <c r="Q4" s="1638"/>
      <c r="R4" s="1638"/>
      <c r="S4" s="1368"/>
      <c r="T4" s="1368"/>
      <c r="U4" s="1368"/>
      <c r="V4" s="1368"/>
      <c r="W4" s="1638"/>
      <c r="X4" s="1368"/>
      <c r="Y4" s="1368"/>
      <c r="Z4" s="546"/>
      <c r="AA4" s="1368"/>
      <c r="AB4" s="1368"/>
      <c r="AC4" s="1368"/>
      <c r="AD4" s="1368"/>
      <c r="AE4" s="1368"/>
      <c r="AK4" s="1634">
        <v>0</v>
      </c>
    </row>
    <row customHeight="1" ht="11.549999999999999">
      <c r="AK5" s="1633">
        <v>11</v>
      </c>
    </row>
    <row customHeight="1" ht="57.75">
      <c r="I6" s="2309" t="s">
        <v>619</v>
      </c>
      <c r="J6" s="2309"/>
      <c r="K6" s="2309"/>
      <c r="L6" s="2309"/>
      <c r="M6" s="2309"/>
      <c r="O6" s="558"/>
      <c r="AK6" s="1633">
        <v>55</v>
      </c>
    </row>
    <row customHeight="1" ht="25.2">
      <c r="I7" s="2251" t="str">
        <f>IF(org=0,"Не определено",org)</f>
        <v>ПАО "ТГК-2"</v>
      </c>
      <c r="J7" s="2251"/>
      <c r="K7" s="2251"/>
      <c r="L7" s="2251"/>
      <c r="M7" s="2251"/>
      <c r="AK7" s="1633">
        <v>24</v>
      </c>
    </row>
    <row customHeight="1" ht="11.549999999999999">
      <c r="I8" s="1137"/>
      <c r="J8" s="1137"/>
      <c r="K8" s="1137"/>
      <c r="L8" s="1137"/>
      <c r="M8" s="1137"/>
      <c r="AK8" s="1633">
        <v>11</v>
      </c>
    </row>
    <row s="1644" customFormat="1" customHeight="1" ht="30" hidden="1">
      <c r="A9" s="1169"/>
      <c r="B9" s="1169"/>
      <c r="C9" s="1169"/>
      <c r="E9" s="1169"/>
      <c r="H9" s="1644"/>
      <c r="L9" s="891"/>
      <c r="M9" s="891" t="s">
        <v>118</v>
      </c>
      <c r="AK9" s="1638">
        <v>1</v>
      </c>
    </row>
    <row customHeight="1" ht="11.549999999999999">
      <c r="E10" s="2052" t="s">
        <v>620</v>
      </c>
      <c r="I10" s="713"/>
      <c r="J10" s="2369" t="s">
        <v>105</v>
      </c>
      <c r="K10" s="2370"/>
      <c r="L10" s="2031" t="str">
        <f>IF(L9="","",INDEX(DIFFERENTIATION_UNMERGE_VD,MATCH(L9,DIFFERENTIATION_ID_DIFF,0)))</f>
        <v/>
      </c>
      <c r="M10" s="2031" t="str">
        <f>IF(M9="","",INDEX(DIFFERENTIATION_UNMERGE_VD,MATCH(M9,DIFFERENTIATION_ID_DIFF,0)))</f>
        <v>Подключение (технологическое присоединение) к системе теплоснабжения</v>
      </c>
      <c r="O10" s="2129" t="s">
        <v>301</v>
      </c>
      <c r="AK10" s="1633">
        <v>11</v>
      </c>
    </row>
    <row customHeight="1" ht="11.549999999999999">
      <c r="E11" s="2052" t="s">
        <v>621</v>
      </c>
      <c r="I11" s="713"/>
      <c r="J11" s="2369" t="s">
        <v>564</v>
      </c>
      <c r="K11" s="2370"/>
      <c r="L11" s="2031" t="str">
        <f>IF(L9="","",INDEX(DIFFERENTIATION_UNMERGE_AREA,MATCH(L9,DIFFERENTIATION_ID_DIFF,0)))</f>
        <v/>
      </c>
      <c r="M11" s="2031" t="str">
        <f>IF(M9="","",INDEX(DIFFERENTIATION_UNMERGE_AREA,MATCH(M9,DIFFERENTIATION_ID_DIFF,0)))</f>
        <v>Территория 1</v>
      </c>
      <c r="O11" s="2129"/>
      <c r="AK11" s="1633">
        <v>11</v>
      </c>
    </row>
    <row customHeight="1" ht="11.549999999999999">
      <c r="E12" s="2052" t="s">
        <v>622</v>
      </c>
      <c r="I12" s="1664"/>
      <c r="J12" s="2369" t="s">
        <v>565</v>
      </c>
      <c r="K12" s="2370"/>
      <c r="L12" s="2031" t="str">
        <f>IF(L9="","",INDEX(DIFFERENTIATION_UNMERGE_SYSTEM,MATCH(L9,DIFFERENTIATION_ID_DIFF,0)))</f>
        <v/>
      </c>
      <c r="M12" s="2031" t="str">
        <f>IF(M9="","",INDEX(DIFFERENTIATION_UNMERGE_SYSTEM,MATCH(M9,DIFFERENTIATION_ID_DIFF,0)))</f>
        <v>Вологодская ТЭЦ</v>
      </c>
      <c r="O12" s="2129"/>
      <c r="AK12" s="1633">
        <v>11</v>
      </c>
    </row>
    <row customHeight="1" ht="11.549999999999999">
      <c r="E13" s="2052" t="s">
        <v>623</v>
      </c>
      <c r="F13" s="2052" t="s">
        <v>624</v>
      </c>
      <c r="I13" s="2371" t="s">
        <v>300</v>
      </c>
      <c r="J13" s="2372"/>
      <c r="K13" s="2372"/>
      <c r="L13" s="2029"/>
      <c r="M13" s="2069"/>
      <c r="O13" s="2129"/>
      <c r="AK13" s="1633">
        <v>11</v>
      </c>
    </row>
    <row customHeight="1" ht="24">
      <c r="I14" s="2022" t="s">
        <v>88</v>
      </c>
      <c r="J14" s="2022" t="s">
        <v>302</v>
      </c>
      <c r="K14" s="2022" t="s">
        <v>566</v>
      </c>
      <c r="L14" s="2062" t="s">
        <v>303</v>
      </c>
      <c r="M14" s="2063" t="s">
        <v>303</v>
      </c>
      <c r="O14" s="2129"/>
      <c r="AK14" s="1633">
        <v>23</v>
      </c>
    </row>
    <row customHeight="1" ht="24">
      <c r="A15" s="2056"/>
      <c r="B15" s="2055" t="s">
        <v>625</v>
      </c>
      <c r="C15" s="2055" t="s">
        <v>626</v>
      </c>
      <c r="D15" s="2054" t="s">
        <v>627</v>
      </c>
      <c r="E15" s="2058" t="s">
        <v>628</v>
      </c>
      <c r="F15" s="2058" t="s">
        <v>628</v>
      </c>
      <c r="G15" s="1638" t="s">
        <v>588</v>
      </c>
      <c r="H15" s="2023"/>
      <c r="I15" s="1632">
        <v>1</v>
      </c>
      <c r="J15" s="2024" t="s">
        <v>629</v>
      </c>
      <c r="K15" s="2022" t="s">
        <v>306</v>
      </c>
      <c r="L15" s="664"/>
      <c r="M15" s="820"/>
      <c r="N15" s="545" t="s">
        <v>630</v>
      </c>
      <c r="O15" s="1527" t="s">
        <v>631</v>
      </c>
      <c r="P15" s="545" t="s">
        <v>630</v>
      </c>
      <c r="AK15" s="1633">
        <v>23</v>
      </c>
    </row>
    <row customHeight="1" ht="35.699999999999996">
      <c r="A16" s="2056"/>
      <c r="B16" s="2055" t="s">
        <v>632</v>
      </c>
      <c r="C16" s="2055" t="s">
        <v>633</v>
      </c>
      <c r="D16" s="2054" t="s">
        <v>617</v>
      </c>
      <c r="E16" s="2058" t="s">
        <v>628</v>
      </c>
      <c r="F16" s="2058" t="s">
        <v>628</v>
      </c>
      <c r="H16" s="2023"/>
      <c r="I16" s="1631">
        <v>2</v>
      </c>
      <c r="J16" s="2065" t="s">
        <v>634</v>
      </c>
      <c r="K16" s="2064" t="s">
        <v>556</v>
      </c>
      <c r="L16" s="2070"/>
      <c r="M16" s="1678"/>
      <c r="N16" s="545" t="s">
        <v>630</v>
      </c>
      <c r="O16" s="1527" t="s">
        <v>635</v>
      </c>
      <c r="P16" s="545" t="s">
        <v>630</v>
      </c>
      <c r="AK16" s="1633">
        <v>34</v>
      </c>
    </row>
    <row s="1644" customFormat="1" customHeight="1" ht="17.25" hidden="1">
      <c r="A17" s="1169"/>
      <c r="B17" s="1169"/>
      <c r="C17" s="1169"/>
      <c r="D17" s="1169"/>
      <c r="E17" s="1169"/>
      <c r="H17" s="1326"/>
      <c r="I17" s="1015" t="s">
        <v>636</v>
      </c>
      <c r="J17" s="993"/>
      <c r="K17" s="1015"/>
      <c r="L17" s="994"/>
      <c r="M17" s="994"/>
      <c r="O17" s="1387"/>
      <c r="AK17" s="1638">
        <v>1</v>
      </c>
    </row>
    <row s="1368" customFormat="1" customHeight="1" ht="24">
      <c r="A18" s="989"/>
      <c r="B18" s="989"/>
      <c r="C18" s="989"/>
      <c r="D18" s="989"/>
      <c r="E18" s="989"/>
      <c r="G18" s="1638"/>
      <c r="H18" s="1635"/>
      <c r="I18" s="572"/>
      <c r="J18" s="573" t="s">
        <v>586</v>
      </c>
      <c r="K18" s="574"/>
      <c r="L18" s="2072"/>
      <c r="M18" s="575"/>
      <c r="N18" s="545"/>
      <c r="O18" s="1527" t="s">
        <v>587</v>
      </c>
      <c r="P18" s="545"/>
      <c r="Q18" s="1638"/>
      <c r="R18" s="1638"/>
      <c r="W18" s="1638"/>
      <c r="Z18" s="546"/>
      <c r="AF18" s="1634"/>
      <c r="AG18" s="1634"/>
      <c r="AH18" s="1634"/>
      <c r="AI18" s="1634"/>
      <c r="AJ18" s="1634"/>
      <c r="AK18" s="1368">
        <v>23</v>
      </c>
    </row>
    <row customHeight="1" ht="19.95">
      <c r="A19" s="2056"/>
      <c r="B19" s="2055" t="s">
        <v>637</v>
      </c>
      <c r="C19" s="2055" t="s">
        <v>638</v>
      </c>
      <c r="D19" s="2054" t="s">
        <v>617</v>
      </c>
      <c r="E19" s="2058" t="s">
        <v>628</v>
      </c>
      <c r="F19" s="2058" t="s">
        <v>628</v>
      </c>
      <c r="H19" s="2023"/>
      <c r="I19" s="1666">
        <v>3</v>
      </c>
      <c r="J19" s="2024" t="s">
        <v>638</v>
      </c>
      <c r="K19" s="2020" t="s">
        <v>556</v>
      </c>
      <c r="L19" s="729"/>
      <c r="M19" s="559"/>
      <c r="N19" s="545"/>
      <c r="O19" s="1527" t="s">
        <v>639</v>
      </c>
      <c r="P19" s="545"/>
      <c r="AK19" s="1633">
        <v>19</v>
      </c>
    </row>
    <row customHeight="1" ht="77.7">
      <c r="A20" s="2056"/>
      <c r="B20" s="2055" t="s">
        <v>640</v>
      </c>
      <c r="C20" s="2055" t="s">
        <v>641</v>
      </c>
      <c r="D20" s="2054" t="s">
        <v>617</v>
      </c>
      <c r="E20" s="2058" t="s">
        <v>628</v>
      </c>
      <c r="F20" s="2058" t="s">
        <v>628</v>
      </c>
      <c r="H20" s="2023"/>
      <c r="I20" s="1666">
        <v>4</v>
      </c>
      <c r="J20" s="2024" t="s">
        <v>642</v>
      </c>
      <c r="K20" s="2020" t="s">
        <v>583</v>
      </c>
      <c r="L20" s="729"/>
      <c r="M20" s="559"/>
      <c r="N20" s="545"/>
      <c r="O20" s="1527"/>
      <c r="P20" s="545"/>
      <c r="AK20" s="1633">
        <v>74</v>
      </c>
    </row>
    <row customHeight="1" ht="35.699999999999996">
      <c r="A21" s="2056"/>
      <c r="B21" s="2055" t="s">
        <v>643</v>
      </c>
      <c r="C21" s="2055" t="s">
        <v>644</v>
      </c>
      <c r="D21" s="2054" t="s">
        <v>617</v>
      </c>
      <c r="E21" s="2058" t="s">
        <v>628</v>
      </c>
      <c r="F21" s="2058" t="s">
        <v>628</v>
      </c>
      <c r="H21" s="2023"/>
      <c r="I21" s="1666">
        <v>5</v>
      </c>
      <c r="J21" s="2024" t="s">
        <v>645</v>
      </c>
      <c r="K21" s="2020" t="s">
        <v>583</v>
      </c>
      <c r="L21" s="729"/>
      <c r="M21" s="559"/>
      <c r="N21" s="545"/>
      <c r="O21" s="1527" t="s">
        <v>639</v>
      </c>
      <c r="P21" s="545"/>
      <c r="AK21" s="1633">
        <v>34</v>
      </c>
    </row>
    <row customHeight="1" ht="48.29999999999999">
      <c r="A22" s="2056"/>
      <c r="B22" s="2055" t="s">
        <v>646</v>
      </c>
      <c r="C22" s="2055" t="s">
        <v>647</v>
      </c>
      <c r="D22" s="2054" t="s">
        <v>617</v>
      </c>
      <c r="E22" s="2058" t="s">
        <v>628</v>
      </c>
      <c r="F22" s="2058" t="s">
        <v>628</v>
      </c>
      <c r="H22" s="2023"/>
      <c r="I22" s="1666">
        <v>6</v>
      </c>
      <c r="J22" s="2024" t="s">
        <v>648</v>
      </c>
      <c r="K22" s="2020" t="s">
        <v>583</v>
      </c>
      <c r="L22" s="729"/>
      <c r="M22" s="559"/>
      <c r="N22" s="545"/>
      <c r="O22" s="1527" t="s">
        <v>649</v>
      </c>
      <c r="P22" s="545"/>
      <c r="AK22" s="1633">
        <v>46</v>
      </c>
    </row>
    <row customHeight="1" ht="19.95">
      <c r="A23" s="2056"/>
      <c r="B23" s="2055" t="s">
        <v>650</v>
      </c>
      <c r="C23" s="2055" t="s">
        <v>651</v>
      </c>
      <c r="D23" s="2054" t="s">
        <v>617</v>
      </c>
      <c r="E23" s="2058" t="s">
        <v>628</v>
      </c>
      <c r="F23" s="2058" t="s">
        <v>628</v>
      </c>
      <c r="H23" s="2023"/>
      <c r="I23" s="1666" t="s">
        <v>652</v>
      </c>
      <c r="J23" s="1526" t="s">
        <v>653</v>
      </c>
      <c r="K23" s="2020" t="s">
        <v>583</v>
      </c>
      <c r="L23" s="729"/>
      <c r="M23" s="559"/>
      <c r="N23" s="545"/>
      <c r="O23" s="1527" t="s">
        <v>639</v>
      </c>
      <c r="P23" s="545"/>
      <c r="AK23" s="1633">
        <v>19</v>
      </c>
    </row>
    <row customHeight="1" ht="19.95">
      <c r="A24" s="2056"/>
      <c r="B24" s="2055" t="s">
        <v>654</v>
      </c>
      <c r="C24" s="2055" t="s">
        <v>655</v>
      </c>
      <c r="D24" s="2054" t="s">
        <v>617</v>
      </c>
      <c r="E24" s="2058" t="s">
        <v>628</v>
      </c>
      <c r="F24" s="2058" t="s">
        <v>628</v>
      </c>
      <c r="H24" s="2023"/>
      <c r="I24" s="1666" t="s">
        <v>656</v>
      </c>
      <c r="J24" s="1526" t="s">
        <v>657</v>
      </c>
      <c r="K24" s="2020" t="s">
        <v>583</v>
      </c>
      <c r="L24" s="729"/>
      <c r="M24" s="559"/>
      <c r="N24" s="545"/>
      <c r="O24" s="1527"/>
      <c r="P24" s="545"/>
      <c r="AK24" s="1633">
        <v>19</v>
      </c>
    </row>
    <row customHeight="1" ht="24">
      <c r="A25" s="2056"/>
      <c r="B25" s="2055" t="s">
        <v>658</v>
      </c>
      <c r="C25" s="2055" t="s">
        <v>659</v>
      </c>
      <c r="D25" s="2054" t="s">
        <v>617</v>
      </c>
      <c r="E25" s="2058" t="s">
        <v>628</v>
      </c>
      <c r="F25" s="2058" t="s">
        <v>628</v>
      </c>
      <c r="H25" s="2023"/>
      <c r="I25" s="1666" t="s">
        <v>660</v>
      </c>
      <c r="J25" s="1526" t="s">
        <v>661</v>
      </c>
      <c r="K25" s="2020" t="s">
        <v>583</v>
      </c>
      <c r="L25" s="729"/>
      <c r="M25" s="559"/>
      <c r="N25" s="545"/>
      <c r="O25" s="1527"/>
      <c r="P25" s="545"/>
      <c r="AK25" s="1633">
        <v>23</v>
      </c>
    </row>
    <row customHeight="1" ht="24">
      <c r="A26" s="2056"/>
      <c r="B26" s="2055" t="s">
        <v>662</v>
      </c>
      <c r="C26" s="2055" t="s">
        <v>663</v>
      </c>
      <c r="D26" s="2054" t="s">
        <v>617</v>
      </c>
      <c r="E26" s="2058" t="s">
        <v>628</v>
      </c>
      <c r="F26" s="2058" t="s">
        <v>628</v>
      </c>
      <c r="H26" s="2023"/>
      <c r="I26" s="1666">
        <v>7</v>
      </c>
      <c r="J26" s="2024" t="s">
        <v>663</v>
      </c>
      <c r="K26" s="2020" t="s">
        <v>664</v>
      </c>
      <c r="L26" s="729"/>
      <c r="M26" s="559"/>
      <c r="N26" s="545"/>
      <c r="O26" s="1527"/>
      <c r="P26" s="545"/>
      <c r="AK26" s="1633">
        <v>23</v>
      </c>
    </row>
    <row customHeight="1" ht="24">
      <c r="A27" s="2056"/>
      <c r="B27" s="2055" t="s">
        <v>665</v>
      </c>
      <c r="C27" s="2055" t="s">
        <v>666</v>
      </c>
      <c r="D27" s="2054" t="s">
        <v>617</v>
      </c>
      <c r="E27" s="2058" t="s">
        <v>628</v>
      </c>
      <c r="F27" s="2058" t="s">
        <v>628</v>
      </c>
      <c r="H27" s="2023"/>
      <c r="I27" s="1666">
        <v>8</v>
      </c>
      <c r="J27" s="2024" t="s">
        <v>666</v>
      </c>
      <c r="K27" s="2020" t="s">
        <v>589</v>
      </c>
      <c r="L27" s="729"/>
      <c r="M27" s="559"/>
      <c r="N27" s="545"/>
      <c r="O27" s="1527"/>
      <c r="P27" s="545"/>
      <c r="AK27" s="1633">
        <v>23</v>
      </c>
    </row>
    <row customHeight="1" ht="35.699999999999996">
      <c r="A28" s="2056"/>
      <c r="B28" s="2055" t="s">
        <v>667</v>
      </c>
      <c r="C28" s="2055" t="s">
        <v>668</v>
      </c>
      <c r="D28" s="2054" t="s">
        <v>617</v>
      </c>
      <c r="E28" s="2058" t="s">
        <v>628</v>
      </c>
      <c r="F28" s="2058" t="s">
        <v>628</v>
      </c>
      <c r="H28" s="2023"/>
      <c r="I28" s="1677">
        <v>9</v>
      </c>
      <c r="J28" s="2024" t="s">
        <v>669</v>
      </c>
      <c r="K28" s="2020" t="s">
        <v>560</v>
      </c>
      <c r="L28" s="729"/>
      <c r="M28" s="559"/>
      <c r="N28" s="545"/>
      <c r="O28" s="1527"/>
      <c r="P28" s="545"/>
      <c r="AK28" s="1633">
        <v>34</v>
      </c>
    </row>
    <row customHeight="1" ht="35.699999999999996">
      <c r="A29" s="2056"/>
      <c r="B29" s="2055" t="s">
        <v>670</v>
      </c>
      <c r="C29" s="2055" t="s">
        <v>671</v>
      </c>
      <c r="D29" s="2054" t="s">
        <v>617</v>
      </c>
      <c r="E29" s="2058" t="s">
        <v>628</v>
      </c>
      <c r="F29" s="2058" t="s">
        <v>628</v>
      </c>
      <c r="H29" s="2023"/>
      <c r="I29" s="1677">
        <v>10</v>
      </c>
      <c r="J29" s="2024" t="s">
        <v>672</v>
      </c>
      <c r="K29" s="2020" t="s">
        <v>560</v>
      </c>
      <c r="L29" s="729"/>
      <c r="M29" s="559"/>
      <c r="N29" s="545"/>
      <c r="O29" s="1527"/>
      <c r="P29" s="545"/>
      <c r="AK29" s="1633">
        <v>34</v>
      </c>
    </row>
    <row customHeight="1" ht="24">
      <c r="A30" s="2056"/>
      <c r="B30" s="2055" t="s">
        <v>673</v>
      </c>
      <c r="C30" s="2055" t="s">
        <v>674</v>
      </c>
      <c r="D30" s="2054" t="s">
        <v>617</v>
      </c>
      <c r="E30" s="2058" t="s">
        <v>628</v>
      </c>
      <c r="F30" s="2058" t="s">
        <v>628</v>
      </c>
      <c r="H30" s="2023"/>
      <c r="I30" s="1677">
        <v>11</v>
      </c>
      <c r="J30" s="2024" t="s">
        <v>674</v>
      </c>
      <c r="K30" s="2020" t="s">
        <v>590</v>
      </c>
      <c r="L30" s="2071"/>
      <c r="M30" s="1623"/>
      <c r="N30" s="545"/>
      <c r="O30" s="1527"/>
      <c r="P30" s="545"/>
      <c r="AK30" s="1633">
        <v>23</v>
      </c>
    </row>
    <row customHeight="1" ht="24">
      <c r="A31" s="2056"/>
      <c r="B31" s="2055" t="s">
        <v>675</v>
      </c>
      <c r="C31" s="2055" t="s">
        <v>676</v>
      </c>
      <c r="D31" s="2054" t="s">
        <v>617</v>
      </c>
      <c r="E31" s="2058" t="s">
        <v>628</v>
      </c>
      <c r="F31" s="2058" t="s">
        <v>628</v>
      </c>
      <c r="H31" s="2023"/>
      <c r="I31" s="1677">
        <v>12</v>
      </c>
      <c r="J31" s="2024" t="s">
        <v>676</v>
      </c>
      <c r="K31" s="2020" t="s">
        <v>590</v>
      </c>
      <c r="L31" s="2071"/>
      <c r="M31" s="1623"/>
      <c r="N31" s="545"/>
      <c r="O31" s="1527"/>
      <c r="P31" s="545"/>
      <c r="AK31" s="1633">
        <v>23</v>
      </c>
    </row>
    <row customHeight="1" ht="48.29999999999999">
      <c r="A32" s="2056"/>
      <c r="B32" s="2055" t="s">
        <v>677</v>
      </c>
      <c r="C32" s="2055" t="s">
        <v>678</v>
      </c>
      <c r="D32" s="2054" t="s">
        <v>617</v>
      </c>
      <c r="E32" s="2058" t="s">
        <v>628</v>
      </c>
      <c r="F32" s="2058" t="s">
        <v>628</v>
      </c>
      <c r="H32" s="2023"/>
      <c r="I32" s="1677">
        <v>13</v>
      </c>
      <c r="J32" s="2024" t="s">
        <v>679</v>
      </c>
      <c r="K32" s="2020" t="s">
        <v>600</v>
      </c>
      <c r="L32" s="729"/>
      <c r="M32" s="559"/>
      <c r="N32" s="545"/>
      <c r="O32" s="1527" t="s">
        <v>639</v>
      </c>
      <c r="P32" s="545"/>
      <c r="AK32" s="1633">
        <v>46</v>
      </c>
    </row>
    <row s="1368" customFormat="1" customHeight="1" ht="48.29999999999999">
      <c r="A33" s="2056"/>
      <c r="B33" s="2055" t="s">
        <v>680</v>
      </c>
      <c r="C33" s="2055" t="s">
        <v>681</v>
      </c>
      <c r="D33" s="2054" t="s">
        <v>617</v>
      </c>
      <c r="E33" s="2058" t="s">
        <v>628</v>
      </c>
      <c r="F33" s="2058" t="s">
        <v>628</v>
      </c>
      <c r="G33" s="1638"/>
      <c r="H33" s="2023"/>
      <c r="I33" s="1677">
        <v>14</v>
      </c>
      <c r="J33" s="2036" t="s">
        <v>682</v>
      </c>
      <c r="K33" s="2025" t="s">
        <v>683</v>
      </c>
      <c r="L33" s="729"/>
      <c r="M33" s="559"/>
      <c r="N33" s="545"/>
      <c r="O33" s="1527" t="s">
        <v>639</v>
      </c>
      <c r="P33" s="545"/>
      <c r="Q33" s="1638"/>
      <c r="R33" s="1638"/>
      <c r="W33" s="1638"/>
      <c r="Z33" s="546"/>
      <c r="AF33" s="1634"/>
      <c r="AG33" s="1634"/>
      <c r="AH33" s="1634"/>
      <c r="AI33" s="1634"/>
      <c r="AJ33" s="1634"/>
      <c r="AK33" s="1368">
        <v>46</v>
      </c>
    </row>
    <row customHeight="1" ht="108">
      <c r="A34" s="2056"/>
      <c r="B34" s="2055" t="s">
        <v>684</v>
      </c>
      <c r="C34" s="2055" t="s">
        <v>685</v>
      </c>
      <c r="D34" s="2054" t="s">
        <v>627</v>
      </c>
      <c r="E34" s="2058" t="s">
        <v>628</v>
      </c>
      <c r="F34" s="2058" t="s">
        <v>628</v>
      </c>
      <c r="G34" s="1638" t="s">
        <v>588</v>
      </c>
      <c r="H34" s="2023"/>
      <c r="I34" s="2034">
        <v>15</v>
      </c>
      <c r="J34" s="2035" t="s">
        <v>686</v>
      </c>
      <c r="K34" s="2020" t="s">
        <v>306</v>
      </c>
      <c r="L34" s="387"/>
      <c r="M34" s="1166"/>
      <c r="N34" s="545"/>
      <c r="O34" s="1527" t="s">
        <v>631</v>
      </c>
      <c r="P34" s="545"/>
      <c r="AK34" s="1633">
        <v>103</v>
      </c>
    </row>
    <row s="1643" customFormat="1" customHeight="1" ht="11.549999999999999">
      <c r="A35" s="989"/>
      <c r="B35" s="989"/>
      <c r="C35" s="989"/>
      <c r="D35" s="989"/>
      <c r="E35" s="989"/>
      <c r="F35" s="1638"/>
      <c r="G35" s="1638"/>
      <c r="H35" s="353"/>
      <c r="N35" s="1368"/>
      <c r="P35" s="1368"/>
      <c r="Q35" s="1638"/>
      <c r="R35" s="1638"/>
      <c r="S35" s="1368"/>
      <c r="T35" s="1368"/>
      <c r="U35" s="1368"/>
      <c r="V35" s="1368"/>
      <c r="W35" s="1638"/>
      <c r="X35" s="1368"/>
      <c r="Y35" s="1368"/>
      <c r="Z35" s="546"/>
      <c r="AA35" s="1368"/>
      <c r="AB35" s="1368"/>
      <c r="AC35" s="1368"/>
      <c r="AD35" s="1368"/>
      <c r="AE35" s="1368"/>
      <c r="AF35" s="1634"/>
      <c r="AG35" s="624"/>
      <c r="AH35" s="624"/>
      <c r="AI35" s="624"/>
      <c r="AJ35" s="624"/>
      <c r="AK35" s="1643">
        <v>11</v>
      </c>
    </row>
    <row s="1643" customFormat="1" customHeight="1" ht="11.549999999999999">
      <c r="A36" s="989"/>
      <c r="B36" s="989"/>
      <c r="C36" s="989"/>
      <c r="D36" s="989"/>
      <c r="E36" s="989"/>
      <c r="F36" s="1638"/>
      <c r="G36" s="1638"/>
      <c r="H36" s="353"/>
      <c r="N36" s="1368"/>
      <c r="P36" s="1368"/>
      <c r="Q36" s="1638"/>
      <c r="R36" s="1638"/>
      <c r="S36" s="1368"/>
      <c r="T36" s="1368"/>
      <c r="U36" s="1368"/>
      <c r="V36" s="1368"/>
      <c r="W36" s="1638"/>
      <c r="X36" s="1368"/>
      <c r="Y36" s="1368"/>
      <c r="Z36" s="546"/>
      <c r="AA36" s="1368"/>
      <c r="AB36" s="1368"/>
      <c r="AC36" s="1368"/>
      <c r="AD36" s="1368"/>
      <c r="AE36" s="1368"/>
      <c r="AF36" s="1634"/>
      <c r="AG36" s="624"/>
      <c r="AH36" s="624"/>
      <c r="AI36" s="624"/>
      <c r="AJ36" s="624"/>
      <c r="AK36" s="1643">
        <v>11</v>
      </c>
    </row>
    <row s="1643" customFormat="1" customHeight="1" ht="11.549999999999999">
      <c r="A37" s="989"/>
      <c r="B37" s="989"/>
      <c r="C37" s="989"/>
      <c r="D37" s="989"/>
      <c r="E37" s="989"/>
      <c r="F37" s="1638"/>
      <c r="G37" s="1638"/>
      <c r="H37" s="353"/>
      <c r="L37" s="624"/>
      <c r="M37" s="624"/>
      <c r="N37" s="1368"/>
      <c r="P37" s="1368"/>
      <c r="Q37" s="1638"/>
      <c r="R37" s="1638"/>
      <c r="S37" s="1368"/>
      <c r="T37" s="1368"/>
      <c r="U37" s="1368"/>
      <c r="V37" s="1368"/>
      <c r="W37" s="1638"/>
      <c r="X37" s="1368"/>
      <c r="Y37" s="1368"/>
      <c r="Z37" s="546"/>
      <c r="AA37" s="1368"/>
      <c r="AB37" s="1368"/>
      <c r="AC37" s="1368"/>
      <c r="AD37" s="1368"/>
      <c r="AE37" s="1368"/>
      <c r="AF37" s="1634"/>
      <c r="AG37" s="624"/>
      <c r="AH37" s="624"/>
      <c r="AI37" s="624"/>
      <c r="AJ37" s="624"/>
      <c r="AK37" s="1643">
        <v>11</v>
      </c>
    </row>
    <row s="1643" customFormat="1" customHeight="1" ht="11.549999999999999">
      <c r="A38" s="989"/>
      <c r="B38" s="989"/>
      <c r="C38" s="989"/>
      <c r="D38" s="989"/>
      <c r="E38" s="989"/>
      <c r="F38" s="1638"/>
      <c r="G38" s="1638"/>
      <c r="H38" s="353"/>
      <c r="N38" s="1368"/>
      <c r="P38" s="1368"/>
      <c r="Q38" s="1638"/>
      <c r="R38" s="1638"/>
      <c r="S38" s="1368"/>
      <c r="T38" s="1368"/>
      <c r="U38" s="1368"/>
      <c r="V38" s="1368"/>
      <c r="W38" s="1638"/>
      <c r="X38" s="1368"/>
      <c r="Y38" s="1368"/>
      <c r="Z38" s="546"/>
      <c r="AA38" s="1368"/>
      <c r="AB38" s="1368"/>
      <c r="AC38" s="1368"/>
      <c r="AD38" s="1368"/>
      <c r="AE38" s="1368"/>
      <c r="AF38" s="1634"/>
      <c r="AG38" s="624"/>
      <c r="AH38" s="624"/>
      <c r="AI38" s="624"/>
      <c r="AJ38" s="624"/>
      <c r="AK38" s="1643">
        <v>11</v>
      </c>
    </row>
    <row s="1643" customFormat="1" customHeight="1" ht="11.549999999999999">
      <c r="A39" s="989"/>
      <c r="B39" s="989"/>
      <c r="C39" s="989"/>
      <c r="D39" s="989"/>
      <c r="E39" s="989"/>
      <c r="F39" s="1638"/>
      <c r="G39" s="1638"/>
      <c r="H39" s="353"/>
      <c r="N39" s="1368"/>
      <c r="P39" s="1368"/>
      <c r="Q39" s="1638"/>
      <c r="R39" s="1638"/>
      <c r="S39" s="1368"/>
      <c r="T39" s="1368"/>
      <c r="U39" s="1368"/>
      <c r="V39" s="1368"/>
      <c r="W39" s="1638"/>
      <c r="X39" s="1368"/>
      <c r="Y39" s="1368"/>
      <c r="Z39" s="546"/>
      <c r="AA39" s="1368"/>
      <c r="AB39" s="1368"/>
      <c r="AC39" s="1368"/>
      <c r="AD39" s="1368"/>
      <c r="AE39" s="1368"/>
      <c r="AF39" s="1634"/>
      <c r="AG39" s="624"/>
      <c r="AH39" s="624"/>
      <c r="AI39" s="624"/>
      <c r="AJ39" s="624"/>
      <c r="AK39" s="1643">
        <v>11</v>
      </c>
    </row>
    <row s="1643" customFormat="1" customHeight="1" ht="11.549999999999999">
      <c r="A40" s="989"/>
      <c r="B40" s="989"/>
      <c r="C40" s="989"/>
      <c r="D40" s="989"/>
      <c r="E40" s="989"/>
      <c r="F40" s="1638"/>
      <c r="G40" s="1638"/>
      <c r="H40" s="353"/>
      <c r="N40" s="1368"/>
      <c r="P40" s="1368"/>
      <c r="Q40" s="1638"/>
      <c r="R40" s="1638"/>
      <c r="S40" s="1368"/>
      <c r="T40" s="1368"/>
      <c r="U40" s="1368"/>
      <c r="V40" s="1368"/>
      <c r="W40" s="1638"/>
      <c r="X40" s="1368"/>
      <c r="Y40" s="1368"/>
      <c r="Z40" s="546"/>
      <c r="AA40" s="1368"/>
      <c r="AB40" s="1368"/>
      <c r="AC40" s="1368"/>
      <c r="AD40" s="1368"/>
      <c r="AE40" s="1368"/>
      <c r="AF40" s="1634"/>
      <c r="AG40" s="624"/>
      <c r="AH40" s="624"/>
      <c r="AI40" s="624"/>
      <c r="AJ40" s="624"/>
      <c r="AK40" s="1643">
        <v>11</v>
      </c>
    </row>
    <row s="1643" customFormat="1" customHeight="1" ht="11.549999999999999">
      <c r="A41" s="989"/>
      <c r="B41" s="989"/>
      <c r="C41" s="989"/>
      <c r="D41" s="989"/>
      <c r="E41" s="989"/>
      <c r="F41" s="1638"/>
      <c r="G41" s="1638"/>
      <c r="H41" s="353"/>
      <c r="N41" s="1368"/>
      <c r="P41" s="1368"/>
      <c r="Q41" s="1638"/>
      <c r="R41" s="1638"/>
      <c r="S41" s="1368"/>
      <c r="T41" s="1368"/>
      <c r="U41" s="1368"/>
      <c r="V41" s="1368"/>
      <c r="W41" s="1638"/>
      <c r="X41" s="1368"/>
      <c r="Y41" s="1368"/>
      <c r="Z41" s="546"/>
      <c r="AA41" s="1368"/>
      <c r="AB41" s="1368"/>
      <c r="AC41" s="1368"/>
      <c r="AD41" s="1368"/>
      <c r="AE41" s="1368"/>
      <c r="AF41" s="1634"/>
      <c r="AG41" s="624"/>
      <c r="AH41" s="624"/>
      <c r="AI41" s="624"/>
      <c r="AJ41" s="624"/>
      <c r="AK41" s="1643">
        <v>11</v>
      </c>
    </row>
    <row s="1643" customFormat="1" customHeight="1" ht="11.549999999999999">
      <c r="A42" s="989"/>
      <c r="B42" s="989"/>
      <c r="C42" s="989"/>
      <c r="D42" s="989"/>
      <c r="E42" s="989"/>
      <c r="F42" s="1638"/>
      <c r="G42" s="1638"/>
      <c r="H42" s="353"/>
      <c r="N42" s="1368"/>
      <c r="P42" s="1368"/>
      <c r="Q42" s="1638"/>
      <c r="R42" s="1638"/>
      <c r="S42" s="1368"/>
      <c r="T42" s="1368"/>
      <c r="U42" s="1368"/>
      <c r="V42" s="1368"/>
      <c r="W42" s="1638"/>
      <c r="X42" s="1368"/>
      <c r="Y42" s="1368"/>
      <c r="Z42" s="546"/>
      <c r="AA42" s="1368"/>
      <c r="AB42" s="1368"/>
      <c r="AC42" s="1368"/>
      <c r="AD42" s="1368"/>
      <c r="AE42" s="1368"/>
      <c r="AF42" s="1634"/>
      <c r="AG42" s="624"/>
      <c r="AH42" s="624"/>
      <c r="AI42" s="624"/>
      <c r="AJ42" s="624"/>
      <c r="AK42" s="1643">
        <v>11</v>
      </c>
    </row>
    <row s="1643" customFormat="1" customHeight="1" ht="11.549999999999999">
      <c r="A43" s="989"/>
      <c r="B43" s="989"/>
      <c r="C43" s="989"/>
      <c r="D43" s="989"/>
      <c r="E43" s="989"/>
      <c r="F43" s="1638"/>
      <c r="G43" s="1638"/>
      <c r="H43" s="353"/>
      <c r="N43" s="1368"/>
      <c r="P43" s="1368"/>
      <c r="Q43" s="1638"/>
      <c r="R43" s="1638"/>
      <c r="S43" s="1368"/>
      <c r="T43" s="1368"/>
      <c r="U43" s="1368"/>
      <c r="V43" s="1368"/>
      <c r="W43" s="1638"/>
      <c r="X43" s="1368"/>
      <c r="Y43" s="1368"/>
      <c r="Z43" s="546"/>
      <c r="AA43" s="1368"/>
      <c r="AB43" s="1368"/>
      <c r="AC43" s="1368"/>
      <c r="AD43" s="1368"/>
      <c r="AE43" s="1368"/>
      <c r="AF43" s="1634"/>
      <c r="AG43" s="624"/>
      <c r="AH43" s="624"/>
      <c r="AI43" s="624"/>
      <c r="AJ43" s="624"/>
      <c r="AK43" s="1643">
        <v>11</v>
      </c>
    </row>
    <row s="1643" customFormat="1" customHeight="1" ht="11.549999999999999">
      <c r="A44" s="989"/>
      <c r="B44" s="989"/>
      <c r="C44" s="989"/>
      <c r="D44" s="989"/>
      <c r="E44" s="989"/>
      <c r="F44" s="1638"/>
      <c r="G44" s="1638"/>
      <c r="H44" s="353"/>
      <c r="N44" s="1368"/>
      <c r="P44" s="1368"/>
      <c r="Q44" s="1638"/>
      <c r="R44" s="1638"/>
      <c r="S44" s="1368"/>
      <c r="T44" s="1368"/>
      <c r="U44" s="1368"/>
      <c r="V44" s="1368"/>
      <c r="W44" s="1638"/>
      <c r="X44" s="1368"/>
      <c r="Y44" s="1368"/>
      <c r="Z44" s="546"/>
      <c r="AA44" s="1368"/>
      <c r="AB44" s="1368"/>
      <c r="AC44" s="1368"/>
      <c r="AD44" s="1368"/>
      <c r="AE44" s="1368"/>
      <c r="AF44" s="1634"/>
      <c r="AG44" s="624"/>
      <c r="AH44" s="624"/>
      <c r="AI44" s="624"/>
      <c r="AJ44" s="624"/>
      <c r="AK44" s="1643">
        <v>11</v>
      </c>
    </row>
    <row s="1643" customFormat="1" customHeight="1" ht="11.549999999999999">
      <c r="A45" s="989"/>
      <c r="B45" s="989"/>
      <c r="C45" s="989"/>
      <c r="D45" s="989"/>
      <c r="E45" s="989"/>
      <c r="F45" s="1638"/>
      <c r="G45" s="1638"/>
      <c r="H45" s="353"/>
      <c r="N45" s="1368"/>
      <c r="P45" s="1368"/>
      <c r="Q45" s="1638"/>
      <c r="R45" s="1638"/>
      <c r="S45" s="1368"/>
      <c r="T45" s="1368"/>
      <c r="U45" s="1368"/>
      <c r="V45" s="1368"/>
      <c r="W45" s="1638"/>
      <c r="X45" s="1368"/>
      <c r="Y45" s="1368"/>
      <c r="Z45" s="546"/>
      <c r="AA45" s="1368"/>
      <c r="AB45" s="1368"/>
      <c r="AC45" s="1368"/>
      <c r="AD45" s="1368"/>
      <c r="AE45" s="1368"/>
      <c r="AF45" s="1634"/>
      <c r="AG45" s="624"/>
      <c r="AH45" s="624"/>
      <c r="AI45" s="624"/>
      <c r="AJ45" s="624"/>
      <c r="AK45" s="1643">
        <v>11</v>
      </c>
    </row>
    <row s="1643" customFormat="1" customHeight="1" ht="11.549999999999999">
      <c r="A46" s="989"/>
      <c r="B46" s="989"/>
      <c r="C46" s="989"/>
      <c r="D46" s="989"/>
      <c r="E46" s="989"/>
      <c r="F46" s="1638"/>
      <c r="G46" s="1638"/>
      <c r="H46" s="353"/>
      <c r="N46" s="1368"/>
      <c r="P46" s="1368"/>
      <c r="Q46" s="1638"/>
      <c r="R46" s="1638"/>
      <c r="S46" s="1368"/>
      <c r="T46" s="1368"/>
      <c r="U46" s="1368"/>
      <c r="V46" s="1368"/>
      <c r="W46" s="1638"/>
      <c r="X46" s="1368"/>
      <c r="Y46" s="1368"/>
      <c r="Z46" s="546"/>
      <c r="AA46" s="1368"/>
      <c r="AB46" s="1368"/>
      <c r="AC46" s="1368"/>
      <c r="AD46" s="1368"/>
      <c r="AE46" s="1368"/>
      <c r="AF46" s="1634"/>
      <c r="AG46" s="624"/>
      <c r="AH46" s="624"/>
      <c r="AI46" s="624"/>
      <c r="AJ46" s="624"/>
      <c r="AK46" s="1643">
        <v>11</v>
      </c>
    </row>
    <row s="1643" customFormat="1" customHeight="1" ht="11.549999999999999">
      <c r="A47" s="989"/>
      <c r="B47" s="989"/>
      <c r="C47" s="989"/>
      <c r="D47" s="989"/>
      <c r="E47" s="989"/>
      <c r="F47" s="1638"/>
      <c r="G47" s="1638"/>
      <c r="H47" s="353"/>
      <c r="N47" s="1368"/>
      <c r="P47" s="1368"/>
      <c r="Q47" s="1638"/>
      <c r="R47" s="1638"/>
      <c r="S47" s="1368"/>
      <c r="T47" s="1368"/>
      <c r="U47" s="1368"/>
      <c r="V47" s="1368"/>
      <c r="W47" s="1638"/>
      <c r="X47" s="1368"/>
      <c r="Y47" s="1368"/>
      <c r="Z47" s="546"/>
      <c r="AA47" s="1368"/>
      <c r="AB47" s="1368"/>
      <c r="AC47" s="1368"/>
      <c r="AD47" s="1368"/>
      <c r="AE47" s="1368"/>
      <c r="AF47" s="1634"/>
      <c r="AG47" s="624"/>
      <c r="AH47" s="624"/>
      <c r="AI47" s="624"/>
      <c r="AJ47" s="624"/>
      <c r="AK47" s="1643">
        <v>11</v>
      </c>
    </row>
    <row s="1643" customFormat="1" customHeight="1" ht="11.549999999999999">
      <c r="A48" s="989"/>
      <c r="B48" s="989"/>
      <c r="C48" s="989"/>
      <c r="D48" s="989"/>
      <c r="E48" s="989"/>
      <c r="F48" s="1638"/>
      <c r="G48" s="1638"/>
      <c r="H48" s="353"/>
      <c r="N48" s="1368"/>
      <c r="P48" s="1368"/>
      <c r="Q48" s="1638"/>
      <c r="R48" s="1638"/>
      <c r="S48" s="1368"/>
      <c r="T48" s="1368"/>
      <c r="U48" s="1368"/>
      <c r="V48" s="1368"/>
      <c r="W48" s="1638"/>
      <c r="X48" s="1368"/>
      <c r="Y48" s="1368"/>
      <c r="Z48" s="546"/>
      <c r="AA48" s="1368"/>
      <c r="AB48" s="1368"/>
      <c r="AC48" s="1368"/>
      <c r="AD48" s="1368"/>
      <c r="AE48" s="1368"/>
      <c r="AF48" s="1634"/>
      <c r="AG48" s="624"/>
      <c r="AH48" s="624"/>
      <c r="AI48" s="624"/>
      <c r="AJ48" s="624"/>
      <c r="AK48" s="1643">
        <v>11</v>
      </c>
    </row>
    <row s="1643" customFormat="1" customHeight="1" ht="11.549999999999999">
      <c r="A49" s="989"/>
      <c r="B49" s="989"/>
      <c r="C49" s="989"/>
      <c r="D49" s="989"/>
      <c r="E49" s="989"/>
      <c r="F49" s="1638"/>
      <c r="G49" s="1638"/>
      <c r="H49" s="353"/>
      <c r="N49" s="1368"/>
      <c r="P49" s="1368"/>
      <c r="Q49" s="1638"/>
      <c r="R49" s="1638"/>
      <c r="S49" s="1368"/>
      <c r="T49" s="1368"/>
      <c r="U49" s="1368"/>
      <c r="V49" s="1368"/>
      <c r="W49" s="1638"/>
      <c r="X49" s="1368"/>
      <c r="Y49" s="1368"/>
      <c r="Z49" s="546"/>
      <c r="AA49" s="1368"/>
      <c r="AB49" s="1368"/>
      <c r="AC49" s="1368"/>
      <c r="AD49" s="1368"/>
      <c r="AE49" s="1368"/>
      <c r="AF49" s="1634"/>
      <c r="AG49" s="624"/>
      <c r="AH49" s="624"/>
      <c r="AI49" s="624"/>
      <c r="AJ49" s="624"/>
      <c r="AK49" s="1643">
        <v>11</v>
      </c>
    </row>
    <row s="1643" customFormat="1" customHeight="1" ht="11.549999999999999">
      <c r="A50" s="989"/>
      <c r="B50" s="989"/>
      <c r="C50" s="989"/>
      <c r="D50" s="989"/>
      <c r="E50" s="989"/>
      <c r="F50" s="1638"/>
      <c r="G50" s="1638"/>
      <c r="H50" s="353"/>
      <c r="N50" s="1368"/>
      <c r="P50" s="1368"/>
      <c r="Q50" s="1638"/>
      <c r="R50" s="1638"/>
      <c r="S50" s="1368"/>
      <c r="T50" s="1368"/>
      <c r="U50" s="1368"/>
      <c r="V50" s="1368"/>
      <c r="W50" s="1638"/>
      <c r="X50" s="1368"/>
      <c r="Y50" s="1368"/>
      <c r="Z50" s="546"/>
      <c r="AA50" s="1368"/>
      <c r="AB50" s="1368"/>
      <c r="AC50" s="1368"/>
      <c r="AD50" s="1368"/>
      <c r="AE50" s="1368"/>
      <c r="AF50" s="1634"/>
      <c r="AG50" s="624"/>
      <c r="AH50" s="624"/>
      <c r="AI50" s="624"/>
      <c r="AJ50" s="624"/>
      <c r="AK50" s="1643">
        <v>11</v>
      </c>
    </row>
    <row s="1643" customFormat="1" customHeight="1" ht="11.549999999999999">
      <c r="A51" s="989"/>
      <c r="B51" s="989"/>
      <c r="C51" s="989"/>
      <c r="D51" s="989"/>
      <c r="E51" s="989"/>
      <c r="F51" s="1638"/>
      <c r="G51" s="1638"/>
      <c r="H51" s="353"/>
      <c r="N51" s="1368"/>
      <c r="P51" s="1368"/>
      <c r="Q51" s="1638"/>
      <c r="R51" s="1638"/>
      <c r="S51" s="1368"/>
      <c r="T51" s="1368"/>
      <c r="U51" s="1368"/>
      <c r="V51" s="1368"/>
      <c r="W51" s="1638"/>
      <c r="X51" s="1368"/>
      <c r="Y51" s="1368"/>
      <c r="Z51" s="546"/>
      <c r="AA51" s="1368"/>
      <c r="AB51" s="1368"/>
      <c r="AC51" s="1368"/>
      <c r="AD51" s="1368"/>
      <c r="AE51" s="1368"/>
      <c r="AF51" s="1634"/>
      <c r="AG51" s="624"/>
      <c r="AH51" s="624"/>
      <c r="AI51" s="624"/>
      <c r="AJ51" s="624"/>
      <c r="AK51" s="1643">
        <v>11</v>
      </c>
    </row>
    <row s="1643" customFormat="1" customHeight="1" ht="11.549999999999999">
      <c r="A52" s="989"/>
      <c r="B52" s="989"/>
      <c r="C52" s="989"/>
      <c r="D52" s="989"/>
      <c r="E52" s="989"/>
      <c r="F52" s="1638"/>
      <c r="G52" s="1638"/>
      <c r="H52" s="353"/>
      <c r="N52" s="1368"/>
      <c r="P52" s="1368"/>
      <c r="Q52" s="1638"/>
      <c r="R52" s="1638"/>
      <c r="S52" s="1368"/>
      <c r="T52" s="1368"/>
      <c r="U52" s="1368"/>
      <c r="V52" s="1368"/>
      <c r="W52" s="1638"/>
      <c r="X52" s="1368"/>
      <c r="Y52" s="1368"/>
      <c r="Z52" s="546"/>
      <c r="AA52" s="1368"/>
      <c r="AB52" s="1368"/>
      <c r="AC52" s="1368"/>
      <c r="AD52" s="1368"/>
      <c r="AE52" s="1368"/>
      <c r="AF52" s="1634"/>
      <c r="AG52" s="624"/>
      <c r="AH52" s="624"/>
      <c r="AI52" s="624"/>
      <c r="AJ52" s="624"/>
      <c r="AK52" s="1643">
        <v>11</v>
      </c>
    </row>
    <row s="1643" customFormat="1" customHeight="1" ht="11.549999999999999">
      <c r="A53" s="989"/>
      <c r="B53" s="989"/>
      <c r="C53" s="989"/>
      <c r="D53" s="989"/>
      <c r="E53" s="989"/>
      <c r="F53" s="1638"/>
      <c r="G53" s="1638"/>
      <c r="H53" s="353"/>
      <c r="N53" s="1368"/>
      <c r="P53" s="1368"/>
      <c r="Q53" s="1638"/>
      <c r="R53" s="1638"/>
      <c r="S53" s="1368"/>
      <c r="T53" s="1368"/>
      <c r="U53" s="1368"/>
      <c r="V53" s="1368"/>
      <c r="W53" s="1638"/>
      <c r="X53" s="1368"/>
      <c r="Y53" s="1368"/>
      <c r="Z53" s="546"/>
      <c r="AA53" s="1368"/>
      <c r="AB53" s="1368"/>
      <c r="AC53" s="1368"/>
      <c r="AD53" s="1368"/>
      <c r="AE53" s="1368"/>
      <c r="AF53" s="1634"/>
      <c r="AG53" s="624"/>
      <c r="AH53" s="624"/>
      <c r="AI53" s="624"/>
      <c r="AJ53" s="624"/>
      <c r="AK53" s="1643">
        <v>11</v>
      </c>
    </row>
    <row s="1643" customFormat="1" customHeight="1" ht="11.549999999999999">
      <c r="A54" s="989"/>
      <c r="B54" s="989"/>
      <c r="C54" s="989"/>
      <c r="D54" s="989"/>
      <c r="E54" s="989"/>
      <c r="F54" s="1638"/>
      <c r="G54" s="1638"/>
      <c r="H54" s="353"/>
      <c r="N54" s="1368"/>
      <c r="P54" s="1368"/>
      <c r="Q54" s="1638"/>
      <c r="R54" s="1638"/>
      <c r="S54" s="1368"/>
      <c r="T54" s="1368"/>
      <c r="U54" s="1368"/>
      <c r="V54" s="1368"/>
      <c r="W54" s="1638"/>
      <c r="X54" s="1368"/>
      <c r="Y54" s="1368"/>
      <c r="Z54" s="546"/>
      <c r="AA54" s="1368"/>
      <c r="AB54" s="1368"/>
      <c r="AC54" s="1368"/>
      <c r="AD54" s="1368"/>
      <c r="AE54" s="1368"/>
      <c r="AF54" s="1634"/>
      <c r="AG54" s="624"/>
      <c r="AH54" s="624"/>
      <c r="AI54" s="624"/>
      <c r="AJ54" s="624"/>
      <c r="AK54" s="1643">
        <v>11</v>
      </c>
    </row>
    <row s="1643" customFormat="1" customHeight="1" ht="11.549999999999999">
      <c r="A55" s="989"/>
      <c r="B55" s="989"/>
      <c r="C55" s="989"/>
      <c r="D55" s="989"/>
      <c r="E55" s="989"/>
      <c r="F55" s="1638"/>
      <c r="G55" s="1638"/>
      <c r="H55" s="353"/>
      <c r="N55" s="1368"/>
      <c r="P55" s="1368"/>
      <c r="Q55" s="1638"/>
      <c r="R55" s="1638"/>
      <c r="S55" s="1368"/>
      <c r="T55" s="1368"/>
      <c r="U55" s="1368"/>
      <c r="V55" s="1368"/>
      <c r="W55" s="1638"/>
      <c r="X55" s="1368"/>
      <c r="Y55" s="1368"/>
      <c r="Z55" s="546"/>
      <c r="AA55" s="1368"/>
      <c r="AB55" s="1368"/>
      <c r="AC55" s="1368"/>
      <c r="AD55" s="1368"/>
      <c r="AE55" s="1368"/>
      <c r="AF55" s="1634"/>
      <c r="AG55" s="624"/>
      <c r="AH55" s="624"/>
      <c r="AI55" s="624"/>
      <c r="AJ55" s="624"/>
      <c r="AK55" s="1643">
        <v>11</v>
      </c>
    </row>
    <row s="1643" customFormat="1" customHeight="1" ht="11.549999999999999">
      <c r="A56" s="989"/>
      <c r="B56" s="989"/>
      <c r="C56" s="989"/>
      <c r="D56" s="989"/>
      <c r="E56" s="989"/>
      <c r="F56" s="1638"/>
      <c r="G56" s="1638"/>
      <c r="H56" s="353"/>
      <c r="N56" s="1368"/>
      <c r="P56" s="1368"/>
      <c r="Q56" s="1638"/>
      <c r="R56" s="1638"/>
      <c r="S56" s="1368"/>
      <c r="T56" s="1368"/>
      <c r="U56" s="1368"/>
      <c r="V56" s="1368"/>
      <c r="W56" s="1638"/>
      <c r="X56" s="1368"/>
      <c r="Y56" s="1368"/>
      <c r="Z56" s="546"/>
      <c r="AA56" s="1368"/>
      <c r="AB56" s="1368"/>
      <c r="AC56" s="1368"/>
      <c r="AD56" s="1368"/>
      <c r="AE56" s="1368"/>
      <c r="AF56" s="1634"/>
      <c r="AG56" s="624"/>
      <c r="AH56" s="624"/>
      <c r="AI56" s="624"/>
      <c r="AJ56" s="624"/>
      <c r="AK56" s="1643">
        <v>11</v>
      </c>
    </row>
    <row s="1643" customFormat="1" customHeight="1" ht="11.549999999999999">
      <c r="A57" s="989"/>
      <c r="B57" s="989"/>
      <c r="C57" s="989"/>
      <c r="D57" s="989"/>
      <c r="E57" s="989"/>
      <c r="F57" s="1638"/>
      <c r="G57" s="1638"/>
      <c r="H57" s="353"/>
      <c r="N57" s="1368"/>
      <c r="P57" s="1368"/>
      <c r="Q57" s="1638"/>
      <c r="R57" s="1638"/>
      <c r="S57" s="1368"/>
      <c r="T57" s="1368"/>
      <c r="U57" s="1368"/>
      <c r="V57" s="1368"/>
      <c r="W57" s="1638"/>
      <c r="X57" s="1368"/>
      <c r="Y57" s="1368"/>
      <c r="Z57" s="546"/>
      <c r="AA57" s="1368"/>
      <c r="AB57" s="1368"/>
      <c r="AC57" s="1368"/>
      <c r="AD57" s="1368"/>
      <c r="AE57" s="1368"/>
      <c r="AF57" s="1634"/>
      <c r="AG57" s="624"/>
      <c r="AH57" s="624"/>
      <c r="AI57" s="624"/>
      <c r="AJ57" s="624"/>
      <c r="AK57" s="1643">
        <v>11</v>
      </c>
    </row>
    <row s="1643" customFormat="1" customHeight="1" ht="11.549999999999999">
      <c r="A58" s="989"/>
      <c r="B58" s="989"/>
      <c r="C58" s="989"/>
      <c r="D58" s="989"/>
      <c r="E58" s="989"/>
      <c r="F58" s="1638"/>
      <c r="G58" s="1638"/>
      <c r="H58" s="353"/>
      <c r="N58" s="1368"/>
      <c r="P58" s="1368"/>
      <c r="Q58" s="1638"/>
      <c r="R58" s="1638"/>
      <c r="S58" s="1368"/>
      <c r="T58" s="1368"/>
      <c r="U58" s="1368"/>
      <c r="V58" s="1368"/>
      <c r="W58" s="1638"/>
      <c r="X58" s="1368"/>
      <c r="Y58" s="1368"/>
      <c r="Z58" s="546"/>
      <c r="AA58" s="1368"/>
      <c r="AB58" s="1368"/>
      <c r="AC58" s="1368"/>
      <c r="AD58" s="1368"/>
      <c r="AE58" s="1368"/>
      <c r="AF58" s="1634"/>
      <c r="AG58" s="624"/>
      <c r="AH58" s="624"/>
      <c r="AI58" s="624"/>
      <c r="AJ58" s="624"/>
      <c r="AK58" s="1643">
        <v>11</v>
      </c>
    </row>
    <row s="1643" customFormat="1" customHeight="1" ht="11.549999999999999">
      <c r="A59" s="989"/>
      <c r="B59" s="989"/>
      <c r="C59" s="989"/>
      <c r="D59" s="989"/>
      <c r="E59" s="989"/>
      <c r="F59" s="1638"/>
      <c r="G59" s="1638"/>
      <c r="H59" s="353"/>
      <c r="N59" s="1368"/>
      <c r="P59" s="1368"/>
      <c r="Q59" s="1638"/>
      <c r="R59" s="1638"/>
      <c r="S59" s="1368"/>
      <c r="T59" s="1368"/>
      <c r="U59" s="1368"/>
      <c r="V59" s="1368"/>
      <c r="W59" s="1638"/>
      <c r="X59" s="1368"/>
      <c r="Y59" s="1368"/>
      <c r="Z59" s="546"/>
      <c r="AA59" s="1368"/>
      <c r="AB59" s="1368"/>
      <c r="AC59" s="1368"/>
      <c r="AD59" s="1368"/>
      <c r="AE59" s="1368"/>
      <c r="AF59" s="1634"/>
      <c r="AG59" s="624"/>
      <c r="AH59" s="624"/>
      <c r="AI59" s="624"/>
      <c r="AJ59" s="624"/>
      <c r="AK59" s="1643">
        <v>11</v>
      </c>
    </row>
    <row s="1643" customFormat="1" customHeight="1" ht="11.549999999999999">
      <c r="A60" s="989"/>
      <c r="B60" s="989"/>
      <c r="C60" s="989"/>
      <c r="D60" s="989"/>
      <c r="E60" s="989"/>
      <c r="F60" s="1638"/>
      <c r="G60" s="1638"/>
      <c r="H60" s="353"/>
      <c r="N60" s="1368"/>
      <c r="P60" s="1368"/>
      <c r="Q60" s="1638"/>
      <c r="R60" s="1638"/>
      <c r="S60" s="1368"/>
      <c r="T60" s="1368"/>
      <c r="U60" s="1368"/>
      <c r="V60" s="1368"/>
      <c r="W60" s="1638"/>
      <c r="X60" s="1368"/>
      <c r="Y60" s="1368"/>
      <c r="Z60" s="546"/>
      <c r="AA60" s="1368"/>
      <c r="AB60" s="1368"/>
      <c r="AC60" s="1368"/>
      <c r="AD60" s="1368"/>
      <c r="AE60" s="1368"/>
      <c r="AF60" s="1634"/>
      <c r="AG60" s="624"/>
      <c r="AH60" s="624"/>
      <c r="AI60" s="624"/>
      <c r="AJ60" s="624"/>
      <c r="AK60" s="1643">
        <v>11</v>
      </c>
    </row>
    <row s="1643" customFormat="1" customHeight="1" ht="11.549999999999999">
      <c r="A61" s="989"/>
      <c r="B61" s="989"/>
      <c r="C61" s="989"/>
      <c r="D61" s="989"/>
      <c r="E61" s="989"/>
      <c r="F61" s="1638"/>
      <c r="G61" s="1638"/>
      <c r="H61" s="353"/>
      <c r="N61" s="1368"/>
      <c r="P61" s="1368"/>
      <c r="Q61" s="1638"/>
      <c r="R61" s="1638"/>
      <c r="S61" s="1368"/>
      <c r="T61" s="1368"/>
      <c r="U61" s="1368"/>
      <c r="V61" s="1368"/>
      <c r="W61" s="1638"/>
      <c r="X61" s="1368"/>
      <c r="Y61" s="1368"/>
      <c r="Z61" s="546"/>
      <c r="AA61" s="1368"/>
      <c r="AB61" s="1368"/>
      <c r="AC61" s="1368"/>
      <c r="AD61" s="1368"/>
      <c r="AE61" s="1368"/>
      <c r="AF61" s="1634"/>
      <c r="AG61" s="624"/>
      <c r="AH61" s="624"/>
      <c r="AI61" s="624"/>
      <c r="AJ61" s="624"/>
      <c r="AK61" s="1643">
        <v>11</v>
      </c>
    </row>
    <row s="1643" customFormat="1" customHeight="1" ht="11.549999999999999">
      <c r="A62" s="989"/>
      <c r="B62" s="989"/>
      <c r="C62" s="989"/>
      <c r="D62" s="989"/>
      <c r="E62" s="989"/>
      <c r="F62" s="1638"/>
      <c r="G62" s="1638"/>
      <c r="H62" s="353"/>
      <c r="N62" s="1368"/>
      <c r="P62" s="1368"/>
      <c r="Q62" s="1638"/>
      <c r="R62" s="1638"/>
      <c r="S62" s="1368"/>
      <c r="T62" s="1368"/>
      <c r="U62" s="1368"/>
      <c r="V62" s="1368"/>
      <c r="W62" s="1638"/>
      <c r="X62" s="1368"/>
      <c r="Y62" s="1368"/>
      <c r="Z62" s="546"/>
      <c r="AA62" s="1368"/>
      <c r="AB62" s="1368"/>
      <c r="AC62" s="1368"/>
      <c r="AD62" s="1368"/>
      <c r="AE62" s="1368"/>
      <c r="AF62" s="1634"/>
      <c r="AG62" s="624"/>
      <c r="AH62" s="624"/>
      <c r="AI62" s="624"/>
      <c r="AJ62" s="624"/>
      <c r="AK62" s="1643">
        <v>11</v>
      </c>
    </row>
    <row s="1643" customFormat="1" customHeight="1" ht="11.549999999999999">
      <c r="A63" s="989"/>
      <c r="B63" s="989"/>
      <c r="C63" s="989"/>
      <c r="D63" s="989"/>
      <c r="E63" s="989"/>
      <c r="F63" s="1638"/>
      <c r="G63" s="1638"/>
      <c r="H63" s="353"/>
      <c r="N63" s="1368"/>
      <c r="P63" s="1368"/>
      <c r="Q63" s="1638"/>
      <c r="R63" s="1638"/>
      <c r="S63" s="1368"/>
      <c r="T63" s="1368"/>
      <c r="U63" s="1368"/>
      <c r="V63" s="1368"/>
      <c r="W63" s="1638"/>
      <c r="X63" s="1368"/>
      <c r="Y63" s="1368"/>
      <c r="Z63" s="546"/>
      <c r="AA63" s="1368"/>
      <c r="AB63" s="1368"/>
      <c r="AC63" s="1368"/>
      <c r="AD63" s="1368"/>
      <c r="AE63" s="1368"/>
      <c r="AF63" s="1634"/>
      <c r="AG63" s="624"/>
      <c r="AH63" s="624"/>
      <c r="AI63" s="624"/>
      <c r="AJ63" s="624"/>
      <c r="AK63" s="1643">
        <v>11</v>
      </c>
    </row>
    <row s="1643" customFormat="1" customHeight="1" ht="11.549999999999999">
      <c r="A64" s="989"/>
      <c r="B64" s="989"/>
      <c r="C64" s="989"/>
      <c r="D64" s="989"/>
      <c r="E64" s="989"/>
      <c r="F64" s="1638"/>
      <c r="G64" s="1638"/>
      <c r="H64" s="353"/>
      <c r="N64" s="1368"/>
      <c r="P64" s="1368"/>
      <c r="Q64" s="1638"/>
      <c r="R64" s="1638"/>
      <c r="S64" s="1368"/>
      <c r="T64" s="1368"/>
      <c r="U64" s="1368"/>
      <c r="V64" s="1368"/>
      <c r="W64" s="1638"/>
      <c r="X64" s="1368"/>
      <c r="Y64" s="1368"/>
      <c r="Z64" s="546"/>
      <c r="AA64" s="1368"/>
      <c r="AB64" s="1368"/>
      <c r="AC64" s="1368"/>
      <c r="AD64" s="1368"/>
      <c r="AE64" s="1368"/>
      <c r="AF64" s="1634"/>
      <c r="AG64" s="624"/>
      <c r="AH64" s="624"/>
      <c r="AI64" s="624"/>
      <c r="AJ64" s="624"/>
      <c r="AK64" s="1643">
        <v>11</v>
      </c>
    </row>
    <row s="1643" customFormat="1" customHeight="1" ht="11.549999999999999">
      <c r="A65" s="989"/>
      <c r="B65" s="989"/>
      <c r="C65" s="989"/>
      <c r="D65" s="989"/>
      <c r="E65" s="989"/>
      <c r="F65" s="1638"/>
      <c r="G65" s="1638"/>
      <c r="H65" s="353"/>
      <c r="N65" s="1368"/>
      <c r="P65" s="1368"/>
      <c r="Q65" s="1638"/>
      <c r="R65" s="1638"/>
      <c r="S65" s="1368"/>
      <c r="T65" s="1368"/>
      <c r="U65" s="1368"/>
      <c r="V65" s="1368"/>
      <c r="W65" s="1638"/>
      <c r="X65" s="1368"/>
      <c r="Y65" s="1368"/>
      <c r="Z65" s="546"/>
      <c r="AA65" s="1368"/>
      <c r="AB65" s="1368"/>
      <c r="AC65" s="1368"/>
      <c r="AD65" s="1368"/>
      <c r="AE65" s="1368"/>
      <c r="AF65" s="1634"/>
      <c r="AG65" s="624"/>
      <c r="AH65" s="624"/>
      <c r="AI65" s="624"/>
      <c r="AJ65" s="624"/>
      <c r="AK65" s="1643">
        <v>11</v>
      </c>
    </row>
    <row s="1643" customFormat="1" customHeight="1" ht="11.549999999999999">
      <c r="A66" s="989"/>
      <c r="B66" s="989"/>
      <c r="C66" s="989"/>
      <c r="D66" s="989"/>
      <c r="E66" s="989"/>
      <c r="F66" s="1638"/>
      <c r="G66" s="1638"/>
      <c r="H66" s="353"/>
      <c r="N66" s="1368"/>
      <c r="P66" s="1368"/>
      <c r="Q66" s="1638"/>
      <c r="R66" s="1638"/>
      <c r="S66" s="1368"/>
      <c r="T66" s="1368"/>
      <c r="U66" s="1368"/>
      <c r="V66" s="1368"/>
      <c r="W66" s="1638"/>
      <c r="X66" s="1368"/>
      <c r="Y66" s="1368"/>
      <c r="Z66" s="546"/>
      <c r="AA66" s="1368"/>
      <c r="AB66" s="1368"/>
      <c r="AC66" s="1368"/>
      <c r="AD66" s="1368"/>
      <c r="AE66" s="1368"/>
      <c r="AF66" s="1634"/>
      <c r="AG66" s="624"/>
      <c r="AH66" s="624"/>
      <c r="AI66" s="624"/>
      <c r="AJ66" s="624"/>
      <c r="AK66" s="1643">
        <v>11</v>
      </c>
    </row>
    <row s="1643" customFormat="1" customHeight="1" ht="11.549999999999999">
      <c r="A67" s="989"/>
      <c r="B67" s="989"/>
      <c r="C67" s="989"/>
      <c r="D67" s="989"/>
      <c r="E67" s="989"/>
      <c r="F67" s="1638"/>
      <c r="G67" s="1638"/>
      <c r="H67" s="353"/>
      <c r="N67" s="1368"/>
      <c r="P67" s="1368"/>
      <c r="Q67" s="1638"/>
      <c r="R67" s="1638"/>
      <c r="S67" s="1368"/>
      <c r="T67" s="1368"/>
      <c r="U67" s="1368"/>
      <c r="V67" s="1368"/>
      <c r="W67" s="1638"/>
      <c r="X67" s="1368"/>
      <c r="Y67" s="1368"/>
      <c r="Z67" s="546"/>
      <c r="AA67" s="1368"/>
      <c r="AB67" s="1368"/>
      <c r="AC67" s="1368"/>
      <c r="AD67" s="1368"/>
      <c r="AE67" s="1368"/>
      <c r="AF67" s="1634"/>
      <c r="AG67" s="624"/>
      <c r="AH67" s="624"/>
      <c r="AI67" s="624"/>
      <c r="AJ67" s="624"/>
      <c r="AK67" s="1643">
        <v>11</v>
      </c>
    </row>
    <row s="1643" customFormat="1" customHeight="1" ht="11.549999999999999">
      <c r="A68" s="989"/>
      <c r="B68" s="989"/>
      <c r="C68" s="989"/>
      <c r="D68" s="989"/>
      <c r="E68" s="989"/>
      <c r="F68" s="1638"/>
      <c r="G68" s="1638"/>
      <c r="H68" s="353"/>
      <c r="N68" s="1368"/>
      <c r="P68" s="1368"/>
      <c r="Q68" s="1638"/>
      <c r="R68" s="1638"/>
      <c r="S68" s="1368"/>
      <c r="T68" s="1368"/>
      <c r="U68" s="1368"/>
      <c r="V68" s="1368"/>
      <c r="W68" s="1638"/>
      <c r="X68" s="1368"/>
      <c r="Y68" s="1368"/>
      <c r="Z68" s="546"/>
      <c r="AA68" s="1368"/>
      <c r="AB68" s="1368"/>
      <c r="AC68" s="1368"/>
      <c r="AD68" s="1368"/>
      <c r="AE68" s="1368"/>
      <c r="AF68" s="1634"/>
      <c r="AG68" s="624"/>
      <c r="AH68" s="624"/>
      <c r="AI68" s="624"/>
      <c r="AJ68" s="624"/>
      <c r="AK68" s="1643">
        <v>11</v>
      </c>
    </row>
    <row s="1643" customFormat="1" customHeight="1" ht="11.549999999999999">
      <c r="A69" s="989"/>
      <c r="B69" s="989"/>
      <c r="C69" s="989"/>
      <c r="D69" s="989"/>
      <c r="E69" s="989"/>
      <c r="F69" s="1638"/>
      <c r="G69" s="1638"/>
      <c r="H69" s="353"/>
      <c r="N69" s="1368"/>
      <c r="P69" s="1368"/>
      <c r="Q69" s="1638"/>
      <c r="R69" s="1638"/>
      <c r="S69" s="1368"/>
      <c r="T69" s="1368"/>
      <c r="U69" s="1368"/>
      <c r="V69" s="1368"/>
      <c r="W69" s="1638"/>
      <c r="X69" s="1368"/>
      <c r="Y69" s="1368"/>
      <c r="Z69" s="546"/>
      <c r="AA69" s="1368"/>
      <c r="AB69" s="1368"/>
      <c r="AC69" s="1368"/>
      <c r="AD69" s="1368"/>
      <c r="AE69" s="1368"/>
      <c r="AF69" s="1634"/>
      <c r="AG69" s="624"/>
      <c r="AH69" s="624"/>
      <c r="AI69" s="624"/>
      <c r="AJ69" s="624"/>
      <c r="AK69" s="1643">
        <v>11</v>
      </c>
    </row>
    <row s="1643" customFormat="1" customHeight="1" ht="11.549999999999999">
      <c r="A70" s="989"/>
      <c r="B70" s="989"/>
      <c r="C70" s="989"/>
      <c r="D70" s="989"/>
      <c r="E70" s="989"/>
      <c r="F70" s="1638"/>
      <c r="G70" s="1638"/>
      <c r="H70" s="353"/>
      <c r="N70" s="1368"/>
      <c r="P70" s="1368"/>
      <c r="Q70" s="1638"/>
      <c r="R70" s="1638"/>
      <c r="S70" s="1368"/>
      <c r="T70" s="1368"/>
      <c r="U70" s="1368"/>
      <c r="V70" s="1368"/>
      <c r="W70" s="1638"/>
      <c r="X70" s="1368"/>
      <c r="Y70" s="1368"/>
      <c r="Z70" s="546"/>
      <c r="AA70" s="1368"/>
      <c r="AB70" s="1368"/>
      <c r="AC70" s="1368"/>
      <c r="AD70" s="1368"/>
      <c r="AE70" s="1368"/>
      <c r="AF70" s="1634"/>
      <c r="AG70" s="624"/>
      <c r="AH70" s="624"/>
      <c r="AI70" s="624"/>
      <c r="AJ70" s="624"/>
      <c r="AK70" s="1643">
        <v>11</v>
      </c>
    </row>
    <row s="1643" customFormat="1" customHeight="1" ht="11.549999999999999">
      <c r="A71" s="989"/>
      <c r="B71" s="989"/>
      <c r="C71" s="989"/>
      <c r="D71" s="989"/>
      <c r="E71" s="989"/>
      <c r="F71" s="1638"/>
      <c r="G71" s="1638"/>
      <c r="H71" s="353"/>
      <c r="N71" s="1368"/>
      <c r="P71" s="1368"/>
      <c r="Q71" s="1638"/>
      <c r="R71" s="1638"/>
      <c r="S71" s="1368"/>
      <c r="T71" s="1368"/>
      <c r="U71" s="1368"/>
      <c r="V71" s="1368"/>
      <c r="W71" s="1638"/>
      <c r="X71" s="1368"/>
      <c r="Y71" s="1368"/>
      <c r="Z71" s="546"/>
      <c r="AA71" s="1368"/>
      <c r="AB71" s="1368"/>
      <c r="AC71" s="1368"/>
      <c r="AD71" s="1368"/>
      <c r="AE71" s="1368"/>
      <c r="AF71" s="1634"/>
      <c r="AG71" s="624"/>
      <c r="AH71" s="624"/>
      <c r="AI71" s="624"/>
      <c r="AJ71" s="624"/>
      <c r="AK71" s="1643">
        <v>11</v>
      </c>
    </row>
    <row s="1643" customFormat="1" customHeight="1" ht="11.549999999999999">
      <c r="A72" s="989"/>
      <c r="B72" s="989"/>
      <c r="C72" s="989"/>
      <c r="D72" s="989"/>
      <c r="E72" s="989"/>
      <c r="F72" s="1638"/>
      <c r="G72" s="1638"/>
      <c r="H72" s="353"/>
      <c r="N72" s="1368"/>
      <c r="P72" s="1368"/>
      <c r="Q72" s="1638"/>
      <c r="R72" s="1638"/>
      <c r="S72" s="1368"/>
      <c r="T72" s="1368"/>
      <c r="U72" s="1368"/>
      <c r="V72" s="1368"/>
      <c r="W72" s="1638"/>
      <c r="X72" s="1368"/>
      <c r="Y72" s="1368"/>
      <c r="Z72" s="546"/>
      <c r="AA72" s="1368"/>
      <c r="AB72" s="1368"/>
      <c r="AC72" s="1368"/>
      <c r="AD72" s="1368"/>
      <c r="AE72" s="1368"/>
      <c r="AF72" s="1634"/>
      <c r="AG72" s="624"/>
      <c r="AH72" s="624"/>
      <c r="AI72" s="624"/>
      <c r="AJ72" s="624"/>
      <c r="AK72" s="1643">
        <v>11</v>
      </c>
    </row>
    <row s="1643" customFormat="1" customHeight="1" ht="11.549999999999999">
      <c r="A73" s="989"/>
      <c r="B73" s="989"/>
      <c r="C73" s="989"/>
      <c r="D73" s="989"/>
      <c r="E73" s="989"/>
      <c r="F73" s="1638"/>
      <c r="G73" s="1638"/>
      <c r="H73" s="353"/>
      <c r="N73" s="1368"/>
      <c r="P73" s="1368"/>
      <c r="Q73" s="1638"/>
      <c r="R73" s="1638"/>
      <c r="S73" s="1368"/>
      <c r="T73" s="1368"/>
      <c r="U73" s="1368"/>
      <c r="V73" s="1368"/>
      <c r="W73" s="1638"/>
      <c r="X73" s="1368"/>
      <c r="Y73" s="1368"/>
      <c r="Z73" s="546"/>
      <c r="AA73" s="1368"/>
      <c r="AB73" s="1368"/>
      <c r="AC73" s="1368"/>
      <c r="AD73" s="1368"/>
      <c r="AE73" s="1368"/>
      <c r="AF73" s="1634"/>
      <c r="AG73" s="624"/>
      <c r="AH73" s="624"/>
      <c r="AI73" s="624"/>
      <c r="AJ73" s="624"/>
      <c r="AK73" s="1643">
        <v>11</v>
      </c>
    </row>
    <row s="1643" customFormat="1" customHeight="1" ht="11.549999999999999">
      <c r="A74" s="989"/>
      <c r="B74" s="989"/>
      <c r="C74" s="989"/>
      <c r="D74" s="989"/>
      <c r="E74" s="989"/>
      <c r="F74" s="1638"/>
      <c r="G74" s="1638"/>
      <c r="H74" s="353"/>
      <c r="N74" s="1368"/>
      <c r="P74" s="1368"/>
      <c r="Q74" s="1638"/>
      <c r="R74" s="1638"/>
      <c r="S74" s="1368"/>
      <c r="T74" s="1368"/>
      <c r="U74" s="1368"/>
      <c r="V74" s="1368"/>
      <c r="W74" s="1638"/>
      <c r="X74" s="1368"/>
      <c r="Y74" s="1368"/>
      <c r="Z74" s="546"/>
      <c r="AA74" s="1368"/>
      <c r="AB74" s="1368"/>
      <c r="AC74" s="1368"/>
      <c r="AD74" s="1368"/>
      <c r="AE74" s="1368"/>
      <c r="AF74" s="1634"/>
      <c r="AG74" s="624"/>
      <c r="AH74" s="624"/>
      <c r="AI74" s="624"/>
      <c r="AJ74" s="624"/>
      <c r="AK74" s="1643">
        <v>11</v>
      </c>
    </row>
    <row s="1643" customFormat="1" customHeight="1" ht="11.549999999999999">
      <c r="A75" s="989"/>
      <c r="B75" s="989"/>
      <c r="C75" s="989"/>
      <c r="D75" s="989"/>
      <c r="E75" s="989"/>
      <c r="F75" s="1638"/>
      <c r="G75" s="1638"/>
      <c r="H75" s="353"/>
      <c r="N75" s="1368"/>
      <c r="P75" s="1368"/>
      <c r="Q75" s="1638"/>
      <c r="R75" s="1638"/>
      <c r="S75" s="1368"/>
      <c r="T75" s="1368"/>
      <c r="U75" s="1368"/>
      <c r="V75" s="1368"/>
      <c r="W75" s="1638"/>
      <c r="X75" s="1368"/>
      <c r="Y75" s="1368"/>
      <c r="Z75" s="546"/>
      <c r="AA75" s="1368"/>
      <c r="AB75" s="1368"/>
      <c r="AC75" s="1368"/>
      <c r="AD75" s="1368"/>
      <c r="AE75" s="1368"/>
      <c r="AF75" s="1634"/>
      <c r="AG75" s="624"/>
      <c r="AH75" s="624"/>
      <c r="AI75" s="624"/>
      <c r="AJ75" s="624"/>
      <c r="AK75" s="1643">
        <v>11</v>
      </c>
    </row>
    <row s="1643" customFormat="1" customHeight="1" ht="11.549999999999999">
      <c r="A76" s="989"/>
      <c r="B76" s="989"/>
      <c r="C76" s="989"/>
      <c r="D76" s="989"/>
      <c r="E76" s="989"/>
      <c r="F76" s="1638"/>
      <c r="G76" s="1638"/>
      <c r="H76" s="353"/>
      <c r="N76" s="1368"/>
      <c r="P76" s="1368"/>
      <c r="Q76" s="1638"/>
      <c r="R76" s="1638"/>
      <c r="S76" s="1368"/>
      <c r="T76" s="1368"/>
      <c r="U76" s="1368"/>
      <c r="V76" s="1368"/>
      <c r="W76" s="1638"/>
      <c r="X76" s="1368"/>
      <c r="Y76" s="1368"/>
      <c r="Z76" s="546"/>
      <c r="AA76" s="1368"/>
      <c r="AB76" s="1368"/>
      <c r="AC76" s="1368"/>
      <c r="AD76" s="1368"/>
      <c r="AE76" s="1368"/>
      <c r="AF76" s="1634"/>
      <c r="AG76" s="624"/>
      <c r="AH76" s="624"/>
      <c r="AI76" s="624"/>
      <c r="AJ76" s="624"/>
      <c r="AK76" s="1643">
        <v>11</v>
      </c>
    </row>
    <row s="1643" customFormat="1" customHeight="1" ht="11.549999999999999">
      <c r="A77" s="989"/>
      <c r="B77" s="989"/>
      <c r="C77" s="989"/>
      <c r="D77" s="989"/>
      <c r="E77" s="989"/>
      <c r="F77" s="1638"/>
      <c r="G77" s="1638"/>
      <c r="H77" s="353"/>
      <c r="N77" s="1368"/>
      <c r="P77" s="1368"/>
      <c r="Q77" s="1638"/>
      <c r="R77" s="1638"/>
      <c r="S77" s="1368"/>
      <c r="T77" s="1368"/>
      <c r="U77" s="1368"/>
      <c r="V77" s="1368"/>
      <c r="W77" s="1638"/>
      <c r="X77" s="1368"/>
      <c r="Y77" s="1368"/>
      <c r="Z77" s="546"/>
      <c r="AA77" s="1368"/>
      <c r="AB77" s="1368"/>
      <c r="AC77" s="1368"/>
      <c r="AD77" s="1368"/>
      <c r="AE77" s="1368"/>
      <c r="AF77" s="1634"/>
      <c r="AG77" s="624"/>
      <c r="AH77" s="624"/>
      <c r="AI77" s="624"/>
      <c r="AJ77" s="624"/>
      <c r="AK77" s="1643">
        <v>11</v>
      </c>
    </row>
    <row s="1643" customFormat="1" customHeight="1" ht="11.549999999999999">
      <c r="A78" s="989"/>
      <c r="B78" s="989"/>
      <c r="C78" s="989"/>
      <c r="D78" s="989"/>
      <c r="E78" s="989"/>
      <c r="F78" s="1638"/>
      <c r="G78" s="1638"/>
      <c r="H78" s="353"/>
      <c r="N78" s="1368"/>
      <c r="P78" s="1368"/>
      <c r="Q78" s="1638"/>
      <c r="R78" s="1638"/>
      <c r="S78" s="1368"/>
      <c r="T78" s="1368"/>
      <c r="U78" s="1368"/>
      <c r="V78" s="1368"/>
      <c r="W78" s="1638"/>
      <c r="X78" s="1368"/>
      <c r="Y78" s="1368"/>
      <c r="Z78" s="546"/>
      <c r="AA78" s="1368"/>
      <c r="AB78" s="1368"/>
      <c r="AC78" s="1368"/>
      <c r="AD78" s="1368"/>
      <c r="AE78" s="1368"/>
      <c r="AF78" s="1634"/>
      <c r="AG78" s="624"/>
      <c r="AH78" s="624"/>
      <c r="AI78" s="624"/>
      <c r="AJ78" s="624"/>
      <c r="AK78" s="1643">
        <v>11</v>
      </c>
    </row>
    <row s="1643" customFormat="1" customHeight="1" ht="11.549999999999999">
      <c r="A79" s="989"/>
      <c r="B79" s="989"/>
      <c r="C79" s="989"/>
      <c r="D79" s="989"/>
      <c r="E79" s="989"/>
      <c r="F79" s="1638"/>
      <c r="G79" s="1638"/>
      <c r="H79" s="353"/>
      <c r="N79" s="1368"/>
      <c r="P79" s="1368"/>
      <c r="Q79" s="1638"/>
      <c r="R79" s="1638"/>
      <c r="S79" s="1368"/>
      <c r="T79" s="1368"/>
      <c r="U79" s="1368"/>
      <c r="V79" s="1368"/>
      <c r="W79" s="1638"/>
      <c r="X79" s="1368"/>
      <c r="Y79" s="1368"/>
      <c r="Z79" s="546"/>
      <c r="AA79" s="1368"/>
      <c r="AB79" s="1368"/>
      <c r="AC79" s="1368"/>
      <c r="AD79" s="1368"/>
      <c r="AE79" s="1368"/>
      <c r="AF79" s="1634"/>
      <c r="AG79" s="624"/>
      <c r="AH79" s="624"/>
      <c r="AI79" s="624"/>
      <c r="AJ79" s="624"/>
      <c r="AK79" s="1643">
        <v>11</v>
      </c>
    </row>
    <row s="1643" customFormat="1" customHeight="1" ht="11.549999999999999">
      <c r="A80" s="989"/>
      <c r="B80" s="989"/>
      <c r="C80" s="989"/>
      <c r="D80" s="989"/>
      <c r="E80" s="989"/>
      <c r="F80" s="1638"/>
      <c r="G80" s="1638"/>
      <c r="H80" s="353"/>
      <c r="N80" s="1368"/>
      <c r="P80" s="1368"/>
      <c r="Q80" s="1638"/>
      <c r="R80" s="1638"/>
      <c r="S80" s="1368"/>
      <c r="T80" s="1368"/>
      <c r="U80" s="1368"/>
      <c r="V80" s="1368"/>
      <c r="W80" s="1638"/>
      <c r="X80" s="1368"/>
      <c r="Y80" s="1368"/>
      <c r="Z80" s="546"/>
      <c r="AA80" s="1368"/>
      <c r="AB80" s="1368"/>
      <c r="AC80" s="1368"/>
      <c r="AD80" s="1368"/>
      <c r="AE80" s="1368"/>
      <c r="AF80" s="1634"/>
      <c r="AG80" s="624"/>
      <c r="AH80" s="624"/>
      <c r="AI80" s="624"/>
      <c r="AJ80" s="624"/>
      <c r="AK80" s="1643">
        <v>11</v>
      </c>
    </row>
    <row s="1643" customFormat="1" customHeight="1" ht="11.549999999999999">
      <c r="A81" s="989"/>
      <c r="B81" s="989"/>
      <c r="C81" s="989"/>
      <c r="D81" s="989"/>
      <c r="E81" s="989"/>
      <c r="F81" s="1638"/>
      <c r="G81" s="1638"/>
      <c r="H81" s="353"/>
      <c r="N81" s="1368"/>
      <c r="P81" s="1368"/>
      <c r="Q81" s="1638"/>
      <c r="R81" s="1638"/>
      <c r="S81" s="1368"/>
      <c r="T81" s="1368"/>
      <c r="U81" s="1368"/>
      <c r="V81" s="1368"/>
      <c r="W81" s="1638"/>
      <c r="X81" s="1368"/>
      <c r="Y81" s="1368"/>
      <c r="Z81" s="546"/>
      <c r="AA81" s="1368"/>
      <c r="AB81" s="1368"/>
      <c r="AC81" s="1368"/>
      <c r="AD81" s="1368"/>
      <c r="AE81" s="1368"/>
      <c r="AF81" s="1634"/>
      <c r="AG81" s="624"/>
      <c r="AH81" s="624"/>
      <c r="AI81" s="624"/>
      <c r="AJ81" s="624"/>
      <c r="AK81" s="1643">
        <v>11</v>
      </c>
    </row>
    <row s="1643" customFormat="1" customHeight="1" ht="11.549999999999999">
      <c r="A82" s="989"/>
      <c r="B82" s="989"/>
      <c r="C82" s="989"/>
      <c r="D82" s="989"/>
      <c r="E82" s="989"/>
      <c r="F82" s="1638"/>
      <c r="G82" s="1638"/>
      <c r="H82" s="353"/>
      <c r="N82" s="1368"/>
      <c r="P82" s="1368"/>
      <c r="Q82" s="1638"/>
      <c r="R82" s="1638"/>
      <c r="S82" s="1368"/>
      <c r="T82" s="1368"/>
      <c r="U82" s="1368"/>
      <c r="V82" s="1368"/>
      <c r="W82" s="1638"/>
      <c r="X82" s="1368"/>
      <c r="Y82" s="1368"/>
      <c r="Z82" s="546"/>
      <c r="AA82" s="1368"/>
      <c r="AB82" s="1368"/>
      <c r="AC82" s="1368"/>
      <c r="AD82" s="1368"/>
      <c r="AE82" s="1368"/>
      <c r="AF82" s="1634"/>
      <c r="AG82" s="624"/>
      <c r="AH82" s="624"/>
      <c r="AI82" s="624"/>
      <c r="AJ82" s="624"/>
      <c r="AK82" s="1643">
        <v>11</v>
      </c>
    </row>
    <row s="1643" customFormat="1" customHeight="1" ht="11.549999999999999">
      <c r="A83" s="989"/>
      <c r="B83" s="989"/>
      <c r="C83" s="989"/>
      <c r="D83" s="989"/>
      <c r="E83" s="989"/>
      <c r="F83" s="1638"/>
      <c r="G83" s="1638"/>
      <c r="H83" s="353"/>
      <c r="N83" s="1368"/>
      <c r="P83" s="1368"/>
      <c r="Q83" s="1638"/>
      <c r="R83" s="1638"/>
      <c r="S83" s="1368"/>
      <c r="T83" s="1368"/>
      <c r="U83" s="1368"/>
      <c r="V83" s="1368"/>
      <c r="W83" s="1638"/>
      <c r="X83" s="1368"/>
      <c r="Y83" s="1368"/>
      <c r="Z83" s="546"/>
      <c r="AA83" s="1368"/>
      <c r="AB83" s="1368"/>
      <c r="AC83" s="1368"/>
      <c r="AD83" s="1368"/>
      <c r="AE83" s="1368"/>
      <c r="AF83" s="1634"/>
      <c r="AG83" s="624"/>
      <c r="AH83" s="624"/>
      <c r="AI83" s="624"/>
      <c r="AJ83" s="624"/>
      <c r="AK83" s="1643">
        <v>11</v>
      </c>
    </row>
    <row s="1643" customFormat="1" customHeight="1" ht="11.549999999999999">
      <c r="A84" s="989"/>
      <c r="B84" s="989"/>
      <c r="C84" s="989"/>
      <c r="D84" s="989"/>
      <c r="E84" s="989"/>
      <c r="F84" s="1638"/>
      <c r="G84" s="1638"/>
      <c r="H84" s="353"/>
      <c r="N84" s="1368"/>
      <c r="P84" s="1368"/>
      <c r="Q84" s="1638"/>
      <c r="R84" s="1638"/>
      <c r="S84" s="1368"/>
      <c r="T84" s="1368"/>
      <c r="U84" s="1368"/>
      <c r="V84" s="1368"/>
      <c r="W84" s="1638"/>
      <c r="X84" s="1368"/>
      <c r="Y84" s="1368"/>
      <c r="Z84" s="546"/>
      <c r="AA84" s="1368"/>
      <c r="AB84" s="1368"/>
      <c r="AC84" s="1368"/>
      <c r="AD84" s="1368"/>
      <c r="AE84" s="1368"/>
      <c r="AF84" s="1634"/>
      <c r="AG84" s="624"/>
      <c r="AH84" s="624"/>
      <c r="AI84" s="624"/>
      <c r="AJ84" s="624"/>
      <c r="AK84" s="1643">
        <v>11</v>
      </c>
    </row>
    <row s="1643" customFormat="1" customHeight="1" ht="11.549999999999999">
      <c r="A85" s="989"/>
      <c r="B85" s="989"/>
      <c r="C85" s="989"/>
      <c r="D85" s="989"/>
      <c r="E85" s="989"/>
      <c r="F85" s="1638"/>
      <c r="G85" s="1638"/>
      <c r="H85" s="353"/>
      <c r="N85" s="1368"/>
      <c r="P85" s="1368"/>
      <c r="Q85" s="1638"/>
      <c r="R85" s="1638"/>
      <c r="S85" s="1368"/>
      <c r="T85" s="1368"/>
      <c r="U85" s="1368"/>
      <c r="V85" s="1368"/>
      <c r="W85" s="1638"/>
      <c r="X85" s="1368"/>
      <c r="Y85" s="1368"/>
      <c r="Z85" s="546"/>
      <c r="AA85" s="1368"/>
      <c r="AB85" s="1368"/>
      <c r="AC85" s="1368"/>
      <c r="AD85" s="1368"/>
      <c r="AE85" s="1368"/>
      <c r="AF85" s="1634"/>
      <c r="AG85" s="624"/>
      <c r="AH85" s="624"/>
      <c r="AI85" s="624"/>
      <c r="AJ85" s="624"/>
      <c r="AK85" s="1643">
        <v>11</v>
      </c>
    </row>
    <row s="1643" customFormat="1" customHeight="1" ht="11.549999999999999">
      <c r="A86" s="989"/>
      <c r="B86" s="989"/>
      <c r="C86" s="989"/>
      <c r="D86" s="989"/>
      <c r="E86" s="989"/>
      <c r="F86" s="1638"/>
      <c r="G86" s="1638"/>
      <c r="H86" s="353"/>
      <c r="N86" s="1368"/>
      <c r="P86" s="1368"/>
      <c r="Q86" s="1638"/>
      <c r="R86" s="1638"/>
      <c r="S86" s="1368"/>
      <c r="T86" s="1368"/>
      <c r="U86" s="1368"/>
      <c r="V86" s="1368"/>
      <c r="W86" s="1638"/>
      <c r="X86" s="1368"/>
      <c r="Y86" s="1368"/>
      <c r="Z86" s="546"/>
      <c r="AA86" s="1368"/>
      <c r="AB86" s="1368"/>
      <c r="AC86" s="1368"/>
      <c r="AD86" s="1368"/>
      <c r="AE86" s="1368"/>
      <c r="AF86" s="1634"/>
      <c r="AG86" s="624"/>
      <c r="AH86" s="624"/>
      <c r="AI86" s="624"/>
      <c r="AJ86" s="624"/>
      <c r="AK86" s="1643">
        <v>11</v>
      </c>
    </row>
    <row s="1643" customFormat="1" customHeight="1" ht="11.549999999999999">
      <c r="A87" s="989"/>
      <c r="B87" s="989"/>
      <c r="C87" s="989"/>
      <c r="D87" s="989"/>
      <c r="E87" s="989"/>
      <c r="F87" s="1638"/>
      <c r="G87" s="1638"/>
      <c r="H87" s="353"/>
      <c r="N87" s="1368"/>
      <c r="P87" s="1368"/>
      <c r="Q87" s="1638"/>
      <c r="R87" s="1638"/>
      <c r="S87" s="1368"/>
      <c r="T87" s="1368"/>
      <c r="U87" s="1368"/>
      <c r="V87" s="1368"/>
      <c r="W87" s="1638"/>
      <c r="X87" s="1368"/>
      <c r="Y87" s="1368"/>
      <c r="Z87" s="546"/>
      <c r="AA87" s="1368"/>
      <c r="AB87" s="1368"/>
      <c r="AC87" s="1368"/>
      <c r="AD87" s="1368"/>
      <c r="AE87" s="1368"/>
      <c r="AF87" s="1634"/>
      <c r="AG87" s="624"/>
      <c r="AH87" s="624"/>
      <c r="AI87" s="624"/>
      <c r="AJ87" s="624"/>
      <c r="AK87" s="1643">
        <v>11</v>
      </c>
    </row>
    <row s="1643" customFormat="1" customHeight="1" ht="11.549999999999999">
      <c r="A88" s="989"/>
      <c r="B88" s="989"/>
      <c r="C88" s="989"/>
      <c r="D88" s="989"/>
      <c r="E88" s="989"/>
      <c r="F88" s="1638"/>
      <c r="G88" s="1638"/>
      <c r="H88" s="353"/>
      <c r="N88" s="1368"/>
      <c r="P88" s="1368"/>
      <c r="Q88" s="1638"/>
      <c r="R88" s="1638"/>
      <c r="S88" s="1368"/>
      <c r="T88" s="1368"/>
      <c r="U88" s="1368"/>
      <c r="V88" s="1368"/>
      <c r="W88" s="1638"/>
      <c r="X88" s="1368"/>
      <c r="Y88" s="1368"/>
      <c r="Z88" s="546"/>
      <c r="AA88" s="1368"/>
      <c r="AB88" s="1368"/>
      <c r="AC88" s="1368"/>
      <c r="AD88" s="1368"/>
      <c r="AE88" s="1368"/>
      <c r="AF88" s="1634"/>
      <c r="AG88" s="624"/>
      <c r="AH88" s="624"/>
      <c r="AI88" s="624"/>
      <c r="AJ88" s="624"/>
      <c r="AK88" s="1643">
        <v>11</v>
      </c>
    </row>
    <row s="1643" customFormat="1" customHeight="1" ht="11.549999999999999">
      <c r="A89" s="989"/>
      <c r="B89" s="989"/>
      <c r="C89" s="989"/>
      <c r="D89" s="989"/>
      <c r="E89" s="989"/>
      <c r="F89" s="1638"/>
      <c r="G89" s="1638"/>
      <c r="H89" s="353"/>
      <c r="N89" s="1368"/>
      <c r="P89" s="1368"/>
      <c r="Q89" s="1638"/>
      <c r="R89" s="1638"/>
      <c r="S89" s="1368"/>
      <c r="T89" s="1368"/>
      <c r="U89" s="1368"/>
      <c r="V89" s="1368"/>
      <c r="W89" s="1638"/>
      <c r="X89" s="1368"/>
      <c r="Y89" s="1368"/>
      <c r="Z89" s="546"/>
      <c r="AA89" s="1368"/>
      <c r="AB89" s="1368"/>
      <c r="AC89" s="1368"/>
      <c r="AD89" s="1368"/>
      <c r="AE89" s="1368"/>
      <c r="AF89" s="1634"/>
      <c r="AG89" s="624"/>
      <c r="AH89" s="624"/>
      <c r="AI89" s="624"/>
      <c r="AJ89" s="624"/>
      <c r="AK89" s="1643">
        <v>11</v>
      </c>
    </row>
    <row s="1643" customFormat="1" customHeight="1" ht="11.549999999999999">
      <c r="A90" s="989"/>
      <c r="B90" s="989"/>
      <c r="C90" s="989"/>
      <c r="D90" s="989"/>
      <c r="E90" s="989"/>
      <c r="F90" s="1638"/>
      <c r="G90" s="1638"/>
      <c r="H90" s="353"/>
      <c r="N90" s="1368"/>
      <c r="P90" s="1368"/>
      <c r="Q90" s="1638"/>
      <c r="R90" s="1638"/>
      <c r="S90" s="1368"/>
      <c r="T90" s="1368"/>
      <c r="U90" s="1368"/>
      <c r="V90" s="1368"/>
      <c r="W90" s="1638"/>
      <c r="X90" s="1368"/>
      <c r="Y90" s="1368"/>
      <c r="Z90" s="546"/>
      <c r="AA90" s="1368"/>
      <c r="AB90" s="1368"/>
      <c r="AC90" s="1368"/>
      <c r="AD90" s="1368"/>
      <c r="AE90" s="1368"/>
      <c r="AF90" s="1634"/>
      <c r="AG90" s="624"/>
      <c r="AH90" s="624"/>
      <c r="AI90" s="624"/>
      <c r="AJ90" s="624"/>
      <c r="AK90" s="1643">
        <v>11</v>
      </c>
    </row>
    <row s="1643" customFormat="1" customHeight="1" ht="11.549999999999999">
      <c r="A91" s="989"/>
      <c r="B91" s="989"/>
      <c r="C91" s="989"/>
      <c r="D91" s="989"/>
      <c r="E91" s="989"/>
      <c r="F91" s="1638"/>
      <c r="G91" s="1638"/>
      <c r="H91" s="353"/>
      <c r="N91" s="1368"/>
      <c r="P91" s="1368"/>
      <c r="Q91" s="1638"/>
      <c r="R91" s="1638"/>
      <c r="S91" s="1368"/>
      <c r="T91" s="1368"/>
      <c r="U91" s="1368"/>
      <c r="V91" s="1368"/>
      <c r="W91" s="1638"/>
      <c r="X91" s="1368"/>
      <c r="Y91" s="1368"/>
      <c r="Z91" s="546"/>
      <c r="AA91" s="1368"/>
      <c r="AB91" s="1368"/>
      <c r="AC91" s="1368"/>
      <c r="AD91" s="1368"/>
      <c r="AE91" s="1368"/>
      <c r="AF91" s="1634"/>
      <c r="AG91" s="624"/>
      <c r="AH91" s="624"/>
      <c r="AI91" s="624"/>
      <c r="AJ91" s="624"/>
      <c r="AK91" s="1643">
        <v>11</v>
      </c>
    </row>
    <row s="1643" customFormat="1" customHeight="1" ht="11.549999999999999">
      <c r="A92" s="989"/>
      <c r="B92" s="989"/>
      <c r="C92" s="989"/>
      <c r="D92" s="989"/>
      <c r="E92" s="989"/>
      <c r="F92" s="1638"/>
      <c r="G92" s="1638"/>
      <c r="H92" s="353"/>
      <c r="N92" s="1368"/>
      <c r="P92" s="1368"/>
      <c r="Q92" s="1638"/>
      <c r="R92" s="1638"/>
      <c r="S92" s="1368"/>
      <c r="T92" s="1368"/>
      <c r="U92" s="1368"/>
      <c r="V92" s="1368"/>
      <c r="W92" s="1638"/>
      <c r="X92" s="1368"/>
      <c r="Y92" s="1368"/>
      <c r="Z92" s="546"/>
      <c r="AA92" s="1368"/>
      <c r="AB92" s="1368"/>
      <c r="AC92" s="1368"/>
      <c r="AD92" s="1368"/>
      <c r="AE92" s="1368"/>
      <c r="AF92" s="1634"/>
      <c r="AG92" s="624"/>
      <c r="AH92" s="624"/>
      <c r="AI92" s="624"/>
      <c r="AJ92" s="624"/>
      <c r="AK92" s="1643">
        <v>11</v>
      </c>
    </row>
    <row s="1643" customFormat="1" customHeight="1" ht="11.549999999999999">
      <c r="A93" s="989"/>
      <c r="B93" s="989"/>
      <c r="C93" s="989"/>
      <c r="D93" s="989"/>
      <c r="E93" s="989"/>
      <c r="F93" s="1638"/>
      <c r="G93" s="1638"/>
      <c r="H93" s="353"/>
      <c r="N93" s="1368"/>
      <c r="P93" s="1368"/>
      <c r="Q93" s="1638"/>
      <c r="R93" s="1638"/>
      <c r="S93" s="1368"/>
      <c r="T93" s="1368"/>
      <c r="U93" s="1368"/>
      <c r="V93" s="1368"/>
      <c r="W93" s="1638"/>
      <c r="X93" s="1368"/>
      <c r="Y93" s="1368"/>
      <c r="Z93" s="546"/>
      <c r="AA93" s="1368"/>
      <c r="AB93" s="1368"/>
      <c r="AC93" s="1368"/>
      <c r="AD93" s="1368"/>
      <c r="AE93" s="1368"/>
      <c r="AF93" s="1634"/>
      <c r="AG93" s="624"/>
      <c r="AH93" s="624"/>
      <c r="AI93" s="624"/>
      <c r="AJ93" s="624"/>
      <c r="AK93" s="1643">
        <v>11</v>
      </c>
    </row>
    <row s="1643" customFormat="1" customHeight="1" ht="11.549999999999999">
      <c r="A94" s="989"/>
      <c r="B94" s="989"/>
      <c r="C94" s="989"/>
      <c r="D94" s="989"/>
      <c r="E94" s="989"/>
      <c r="F94" s="1638"/>
      <c r="G94" s="1638"/>
      <c r="H94" s="353"/>
      <c r="N94" s="1368"/>
      <c r="P94" s="1368"/>
      <c r="Q94" s="1638"/>
      <c r="R94" s="1638"/>
      <c r="S94" s="1368"/>
      <c r="T94" s="1368"/>
      <c r="U94" s="1368"/>
      <c r="V94" s="1368"/>
      <c r="W94" s="1638"/>
      <c r="X94" s="1368"/>
      <c r="Y94" s="1368"/>
      <c r="Z94" s="546"/>
      <c r="AA94" s="1368"/>
      <c r="AB94" s="1368"/>
      <c r="AC94" s="1368"/>
      <c r="AD94" s="1368"/>
      <c r="AE94" s="1368"/>
      <c r="AF94" s="1634"/>
      <c r="AG94" s="624"/>
      <c r="AH94" s="624"/>
      <c r="AI94" s="624"/>
      <c r="AJ94" s="624"/>
      <c r="AK94" s="1643">
        <v>11</v>
      </c>
    </row>
    <row s="1643" customFormat="1" customHeight="1" ht="11.549999999999999">
      <c r="A95" s="989"/>
      <c r="B95" s="989"/>
      <c r="C95" s="989"/>
      <c r="D95" s="989"/>
      <c r="E95" s="989"/>
      <c r="F95" s="1638"/>
      <c r="G95" s="1638"/>
      <c r="H95" s="353"/>
      <c r="N95" s="1368"/>
      <c r="P95" s="1368"/>
      <c r="Q95" s="1638"/>
      <c r="R95" s="1638"/>
      <c r="S95" s="1368"/>
      <c r="T95" s="1368"/>
      <c r="U95" s="1368"/>
      <c r="V95" s="1368"/>
      <c r="W95" s="1638"/>
      <c r="X95" s="1368"/>
      <c r="Y95" s="1368"/>
      <c r="Z95" s="546"/>
      <c r="AA95" s="1368"/>
      <c r="AB95" s="1368"/>
      <c r="AC95" s="1368"/>
      <c r="AD95" s="1368"/>
      <c r="AE95" s="1368"/>
      <c r="AF95" s="1634"/>
      <c r="AG95" s="624"/>
      <c r="AH95" s="624"/>
      <c r="AI95" s="624"/>
      <c r="AJ95" s="624"/>
      <c r="AK95" s="1643">
        <v>11</v>
      </c>
    </row>
    <row s="1643" customFormat="1" customHeight="1" ht="11.549999999999999">
      <c r="A96" s="989"/>
      <c r="B96" s="989"/>
      <c r="C96" s="989"/>
      <c r="D96" s="989"/>
      <c r="E96" s="989"/>
      <c r="F96" s="1638"/>
      <c r="G96" s="1638"/>
      <c r="H96" s="353"/>
      <c r="N96" s="1368"/>
      <c r="P96" s="1368"/>
      <c r="Q96" s="1638"/>
      <c r="R96" s="1638"/>
      <c r="S96" s="1368"/>
      <c r="T96" s="1368"/>
      <c r="U96" s="1368"/>
      <c r="V96" s="1368"/>
      <c r="W96" s="1638"/>
      <c r="X96" s="1368"/>
      <c r="Y96" s="1368"/>
      <c r="Z96" s="546"/>
      <c r="AA96" s="1368"/>
      <c r="AB96" s="1368"/>
      <c r="AC96" s="1368"/>
      <c r="AD96" s="1368"/>
      <c r="AE96" s="1368"/>
      <c r="AF96" s="1634"/>
      <c r="AG96" s="624"/>
      <c r="AH96" s="624"/>
      <c r="AI96" s="624"/>
      <c r="AJ96" s="624"/>
      <c r="AK96" s="1643">
        <v>11</v>
      </c>
    </row>
    <row s="1643" customFormat="1" customHeight="1" ht="11.549999999999999">
      <c r="A97" s="989"/>
      <c r="B97" s="989"/>
      <c r="C97" s="989"/>
      <c r="D97" s="989"/>
      <c r="E97" s="989"/>
      <c r="F97" s="1638"/>
      <c r="G97" s="1638"/>
      <c r="H97" s="353"/>
      <c r="N97" s="1368"/>
      <c r="P97" s="1368"/>
      <c r="Q97" s="1638"/>
      <c r="R97" s="1638"/>
      <c r="S97" s="1368"/>
      <c r="T97" s="1368"/>
      <c r="U97" s="1368"/>
      <c r="V97" s="1368"/>
      <c r="W97" s="1638"/>
      <c r="X97" s="1368"/>
      <c r="Y97" s="1368"/>
      <c r="Z97" s="546"/>
      <c r="AA97" s="1368"/>
      <c r="AB97" s="1368"/>
      <c r="AC97" s="1368"/>
      <c r="AD97" s="1368"/>
      <c r="AE97" s="1368"/>
      <c r="AF97" s="1634"/>
      <c r="AG97" s="624"/>
      <c r="AH97" s="624"/>
      <c r="AI97" s="624"/>
      <c r="AJ97" s="624"/>
      <c r="AK97" s="1643">
        <v>11</v>
      </c>
    </row>
    <row s="1643" customFormat="1" customHeight="1" ht="11.549999999999999">
      <c r="A98" s="989"/>
      <c r="B98" s="989"/>
      <c r="C98" s="989"/>
      <c r="D98" s="989"/>
      <c r="E98" s="989"/>
      <c r="F98" s="1638"/>
      <c r="G98" s="1638"/>
      <c r="H98" s="353"/>
      <c r="N98" s="1368"/>
      <c r="P98" s="1368"/>
      <c r="Q98" s="1638"/>
      <c r="R98" s="1638"/>
      <c r="S98" s="1368"/>
      <c r="T98" s="1368"/>
      <c r="U98" s="1368"/>
      <c r="V98" s="1368"/>
      <c r="W98" s="1638"/>
      <c r="X98" s="1368"/>
      <c r="Y98" s="1368"/>
      <c r="Z98" s="546"/>
      <c r="AA98" s="1368"/>
      <c r="AB98" s="1368"/>
      <c r="AC98" s="1368"/>
      <c r="AD98" s="1368"/>
      <c r="AE98" s="1368"/>
      <c r="AF98" s="1634"/>
      <c r="AG98" s="624"/>
      <c r="AH98" s="624"/>
      <c r="AI98" s="624"/>
      <c r="AJ98" s="624"/>
      <c r="AK98" s="1643">
        <v>11</v>
      </c>
    </row>
    <row s="1643" customFormat="1" customHeight="1" ht="11.549999999999999">
      <c r="A99" s="989"/>
      <c r="B99" s="989"/>
      <c r="C99" s="989"/>
      <c r="D99" s="989"/>
      <c r="E99" s="989"/>
      <c r="F99" s="1638"/>
      <c r="G99" s="1638"/>
      <c r="H99" s="353"/>
      <c r="N99" s="1368"/>
      <c r="P99" s="1368"/>
      <c r="Q99" s="1638"/>
      <c r="R99" s="1638"/>
      <c r="S99" s="1368"/>
      <c r="T99" s="1368"/>
      <c r="U99" s="1368"/>
      <c r="V99" s="1368"/>
      <c r="W99" s="1638"/>
      <c r="X99" s="1368"/>
      <c r="Y99" s="1368"/>
      <c r="Z99" s="546"/>
      <c r="AA99" s="1368"/>
      <c r="AB99" s="1368"/>
      <c r="AC99" s="1368"/>
      <c r="AD99" s="1368"/>
      <c r="AE99" s="1368"/>
      <c r="AF99" s="1634"/>
      <c r="AG99" s="624"/>
      <c r="AH99" s="624"/>
      <c r="AI99" s="624"/>
      <c r="AJ99" s="624"/>
      <c r="AK99" s="1643">
        <v>11</v>
      </c>
    </row>
    <row s="1643" customFormat="1" customHeight="1" ht="11.549999999999999">
      <c r="A100" s="989"/>
      <c r="B100" s="989"/>
      <c r="C100" s="989"/>
      <c r="D100" s="989"/>
      <c r="E100" s="989"/>
      <c r="F100" s="1638"/>
      <c r="G100" s="1638"/>
      <c r="H100" s="353"/>
      <c r="N100" s="1368"/>
      <c r="P100" s="1368"/>
      <c r="Q100" s="1638"/>
      <c r="R100" s="1638"/>
      <c r="S100" s="1368"/>
      <c r="T100" s="1368"/>
      <c r="U100" s="1368"/>
      <c r="V100" s="1368"/>
      <c r="W100" s="1638"/>
      <c r="X100" s="1368"/>
      <c r="Y100" s="1368"/>
      <c r="Z100" s="546"/>
      <c r="AA100" s="1368"/>
      <c r="AB100" s="1368"/>
      <c r="AC100" s="1368"/>
      <c r="AD100" s="1368"/>
      <c r="AE100" s="1368"/>
      <c r="AF100" s="1634"/>
      <c r="AG100" s="624"/>
      <c r="AH100" s="624"/>
      <c r="AI100" s="624"/>
      <c r="AJ100" s="624"/>
      <c r="AK100" s="1643">
        <v>11</v>
      </c>
    </row>
    <row s="1643" customFormat="1" customHeight="1" ht="11.549999999999999">
      <c r="A101" s="989"/>
      <c r="B101" s="989"/>
      <c r="C101" s="989"/>
      <c r="D101" s="989"/>
      <c r="E101" s="989"/>
      <c r="F101" s="1638"/>
      <c r="G101" s="1638"/>
      <c r="H101" s="353"/>
      <c r="N101" s="1368"/>
      <c r="P101" s="1368"/>
      <c r="Q101" s="1638"/>
      <c r="R101" s="1638"/>
      <c r="S101" s="1368"/>
      <c r="T101" s="1368"/>
      <c r="U101" s="1368"/>
      <c r="V101" s="1368"/>
      <c r="W101" s="1638"/>
      <c r="X101" s="1368"/>
      <c r="Y101" s="1368"/>
      <c r="Z101" s="546"/>
      <c r="AA101" s="1368"/>
      <c r="AB101" s="1368"/>
      <c r="AC101" s="1368"/>
      <c r="AD101" s="1368"/>
      <c r="AE101" s="1368"/>
      <c r="AF101" s="1634"/>
      <c r="AG101" s="624"/>
      <c r="AH101" s="624"/>
      <c r="AI101" s="624"/>
      <c r="AJ101" s="624"/>
      <c r="AK101" s="1643">
        <v>11</v>
      </c>
    </row>
    <row s="1643" customFormat="1" customHeight="1" ht="11.549999999999999">
      <c r="A102" s="989"/>
      <c r="B102" s="989"/>
      <c r="C102" s="989"/>
      <c r="D102" s="989"/>
      <c r="E102" s="989"/>
      <c r="F102" s="1638"/>
      <c r="G102" s="1638"/>
      <c r="H102" s="353"/>
      <c r="N102" s="1368"/>
      <c r="P102" s="1368"/>
      <c r="Q102" s="1638"/>
      <c r="R102" s="1638"/>
      <c r="S102" s="1368"/>
      <c r="T102" s="1368"/>
      <c r="U102" s="1368"/>
      <c r="V102" s="1368"/>
      <c r="W102" s="1638"/>
      <c r="X102" s="1368"/>
      <c r="Y102" s="1368"/>
      <c r="Z102" s="546"/>
      <c r="AA102" s="1368"/>
      <c r="AB102" s="1368"/>
      <c r="AC102" s="1368"/>
      <c r="AD102" s="1368"/>
      <c r="AE102" s="1368"/>
      <c r="AF102" s="1634"/>
      <c r="AG102" s="624"/>
      <c r="AH102" s="624"/>
      <c r="AI102" s="624"/>
      <c r="AJ102" s="624"/>
      <c r="AK102" s="1643">
        <v>11</v>
      </c>
    </row>
    <row s="1643" customFormat="1" customHeight="1" ht="11.549999999999999">
      <c r="A103" s="989"/>
      <c r="B103" s="989"/>
      <c r="C103" s="989"/>
      <c r="D103" s="989"/>
      <c r="E103" s="989"/>
      <c r="F103" s="1638"/>
      <c r="G103" s="1638"/>
      <c r="H103" s="353"/>
      <c r="N103" s="1368"/>
      <c r="P103" s="1368"/>
      <c r="Q103" s="1638"/>
      <c r="R103" s="1638"/>
      <c r="S103" s="1368"/>
      <c r="T103" s="1368"/>
      <c r="U103" s="1368"/>
      <c r="V103" s="1368"/>
      <c r="W103" s="1638"/>
      <c r="X103" s="1368"/>
      <c r="Y103" s="1368"/>
      <c r="Z103" s="546"/>
      <c r="AA103" s="1368"/>
      <c r="AB103" s="1368"/>
      <c r="AC103" s="1368"/>
      <c r="AD103" s="1368"/>
      <c r="AE103" s="1368"/>
      <c r="AF103" s="1634"/>
      <c r="AG103" s="624"/>
      <c r="AH103" s="624"/>
      <c r="AI103" s="624"/>
      <c r="AJ103" s="624"/>
      <c r="AK103" s="1643">
        <v>11</v>
      </c>
    </row>
    <row s="1643" customFormat="1" customHeight="1" ht="11.549999999999999">
      <c r="A104" s="989"/>
      <c r="B104" s="989"/>
      <c r="C104" s="989"/>
      <c r="D104" s="989"/>
      <c r="E104" s="989"/>
      <c r="F104" s="1638"/>
      <c r="G104" s="1638"/>
      <c r="H104" s="353"/>
      <c r="N104" s="1368"/>
      <c r="P104" s="1368"/>
      <c r="Q104" s="1638"/>
      <c r="R104" s="1638"/>
      <c r="S104" s="1368"/>
      <c r="T104" s="1368"/>
      <c r="U104" s="1368"/>
      <c r="V104" s="1368"/>
      <c r="W104" s="1638"/>
      <c r="X104" s="1368"/>
      <c r="Y104" s="1368"/>
      <c r="Z104" s="546"/>
      <c r="AA104" s="1368"/>
      <c r="AB104" s="1368"/>
      <c r="AC104" s="1368"/>
      <c r="AD104" s="1368"/>
      <c r="AE104" s="1368"/>
      <c r="AF104" s="1634"/>
      <c r="AG104" s="624"/>
      <c r="AH104" s="624"/>
      <c r="AI104" s="624"/>
      <c r="AJ104" s="624"/>
      <c r="AK104" s="1643">
        <v>11</v>
      </c>
    </row>
    <row s="1643" customFormat="1" customHeight="1" ht="11.549999999999999">
      <c r="A105" s="989"/>
      <c r="B105" s="989"/>
      <c r="C105" s="989"/>
      <c r="D105" s="989"/>
      <c r="E105" s="989"/>
      <c r="F105" s="1638"/>
      <c r="G105" s="1638"/>
      <c r="H105" s="353"/>
      <c r="N105" s="1368"/>
      <c r="P105" s="1368"/>
      <c r="Q105" s="1638"/>
      <c r="R105" s="1638"/>
      <c r="S105" s="1368"/>
      <c r="T105" s="1368"/>
      <c r="U105" s="1368"/>
      <c r="V105" s="1368"/>
      <c r="W105" s="1638"/>
      <c r="X105" s="1368"/>
      <c r="Y105" s="1368"/>
      <c r="Z105" s="546"/>
      <c r="AA105" s="1368"/>
      <c r="AB105" s="1368"/>
      <c r="AC105" s="1368"/>
      <c r="AD105" s="1368"/>
      <c r="AE105" s="1368"/>
      <c r="AF105" s="1634"/>
      <c r="AG105" s="624"/>
      <c r="AH105" s="624"/>
      <c r="AI105" s="624"/>
      <c r="AJ105" s="624"/>
      <c r="AK105" s="1643">
        <v>11</v>
      </c>
    </row>
    <row s="1643" customFormat="1" customHeight="1" ht="11.549999999999999">
      <c r="A106" s="989"/>
      <c r="B106" s="989"/>
      <c r="C106" s="989"/>
      <c r="D106" s="989"/>
      <c r="E106" s="989"/>
      <c r="F106" s="1638"/>
      <c r="G106" s="1638"/>
      <c r="H106" s="353"/>
      <c r="N106" s="1368"/>
      <c r="P106" s="1368"/>
      <c r="Q106" s="1638"/>
      <c r="R106" s="1638"/>
      <c r="S106" s="1368"/>
      <c r="T106" s="1368"/>
      <c r="U106" s="1368"/>
      <c r="V106" s="1368"/>
      <c r="W106" s="1638"/>
      <c r="X106" s="1368"/>
      <c r="Y106" s="1368"/>
      <c r="Z106" s="546"/>
      <c r="AA106" s="1368"/>
      <c r="AB106" s="1368"/>
      <c r="AC106" s="1368"/>
      <c r="AD106" s="1368"/>
      <c r="AE106" s="1368"/>
      <c r="AF106" s="1634"/>
      <c r="AG106" s="624"/>
      <c r="AH106" s="624"/>
      <c r="AI106" s="624"/>
      <c r="AJ106" s="624"/>
      <c r="AK106" s="1643">
        <v>11</v>
      </c>
    </row>
    <row s="1643" customFormat="1" customHeight="1" ht="11.549999999999999">
      <c r="A107" s="989"/>
      <c r="B107" s="989"/>
      <c r="C107" s="989"/>
      <c r="D107" s="989"/>
      <c r="E107" s="989"/>
      <c r="F107" s="1638"/>
      <c r="G107" s="1638"/>
      <c r="H107" s="353"/>
      <c r="N107" s="1368"/>
      <c r="P107" s="1368"/>
      <c r="Q107" s="1638"/>
      <c r="R107" s="1638"/>
      <c r="S107" s="1368"/>
      <c r="T107" s="1368"/>
      <c r="U107" s="1368"/>
      <c r="V107" s="1368"/>
      <c r="W107" s="1638"/>
      <c r="X107" s="1368"/>
      <c r="Y107" s="1368"/>
      <c r="Z107" s="546"/>
      <c r="AA107" s="1368"/>
      <c r="AB107" s="1368"/>
      <c r="AC107" s="1368"/>
      <c r="AD107" s="1368"/>
      <c r="AE107" s="1368"/>
      <c r="AF107" s="1634"/>
      <c r="AG107" s="624"/>
      <c r="AH107" s="624"/>
      <c r="AI107" s="624"/>
      <c r="AJ107" s="624"/>
      <c r="AK107" s="1643">
        <v>11</v>
      </c>
    </row>
    <row s="1643" customFormat="1" customHeight="1" ht="11.549999999999999">
      <c r="A108" s="989"/>
      <c r="B108" s="989"/>
      <c r="C108" s="989"/>
      <c r="D108" s="989"/>
      <c r="E108" s="989"/>
      <c r="F108" s="1638"/>
      <c r="G108" s="1638"/>
      <c r="H108" s="353"/>
      <c r="N108" s="1368"/>
      <c r="P108" s="1368"/>
      <c r="Q108" s="1638"/>
      <c r="R108" s="1638"/>
      <c r="S108" s="1368"/>
      <c r="T108" s="1368"/>
      <c r="U108" s="1368"/>
      <c r="V108" s="1368"/>
      <c r="W108" s="1638"/>
      <c r="X108" s="1368"/>
      <c r="Y108" s="1368"/>
      <c r="Z108" s="546"/>
      <c r="AA108" s="1368"/>
      <c r="AB108" s="1368"/>
      <c r="AC108" s="1368"/>
      <c r="AD108" s="1368"/>
      <c r="AE108" s="1368"/>
      <c r="AF108" s="1634"/>
      <c r="AG108" s="624"/>
      <c r="AH108" s="624"/>
      <c r="AI108" s="624"/>
      <c r="AJ108" s="624"/>
      <c r="AK108" s="1643">
        <v>11</v>
      </c>
    </row>
    <row s="1643" customFormat="1" customHeight="1" ht="11.549999999999999">
      <c r="A109" s="989"/>
      <c r="B109" s="989"/>
      <c r="C109" s="989"/>
      <c r="D109" s="989"/>
      <c r="E109" s="989"/>
      <c r="F109" s="1638"/>
      <c r="G109" s="1638"/>
      <c r="H109" s="353"/>
      <c r="N109" s="1368"/>
      <c r="P109" s="1368"/>
      <c r="Q109" s="1638"/>
      <c r="R109" s="1638"/>
      <c r="S109" s="1368"/>
      <c r="T109" s="1368"/>
      <c r="U109" s="1368"/>
      <c r="V109" s="1368"/>
      <c r="W109" s="1638"/>
      <c r="X109" s="1368"/>
      <c r="Y109" s="1368"/>
      <c r="Z109" s="546"/>
      <c r="AA109" s="1368"/>
      <c r="AB109" s="1368"/>
      <c r="AC109" s="1368"/>
      <c r="AD109" s="1368"/>
      <c r="AE109" s="1368"/>
      <c r="AF109" s="1634"/>
      <c r="AG109" s="624"/>
      <c r="AH109" s="624"/>
      <c r="AI109" s="624"/>
      <c r="AJ109" s="624"/>
      <c r="AK109" s="1643">
        <v>11</v>
      </c>
    </row>
    <row s="1643" customFormat="1" customHeight="1" ht="11.549999999999999">
      <c r="A110" s="989"/>
      <c r="B110" s="989"/>
      <c r="C110" s="989"/>
      <c r="D110" s="989"/>
      <c r="E110" s="989"/>
      <c r="F110" s="1638"/>
      <c r="G110" s="1638"/>
      <c r="H110" s="353"/>
      <c r="N110" s="1368"/>
      <c r="P110" s="1368"/>
      <c r="Q110" s="1638"/>
      <c r="R110" s="1638"/>
      <c r="S110" s="1368"/>
      <c r="T110" s="1368"/>
      <c r="U110" s="1368"/>
      <c r="V110" s="1368"/>
      <c r="W110" s="1638"/>
      <c r="X110" s="1368"/>
      <c r="Y110" s="1368"/>
      <c r="Z110" s="546"/>
      <c r="AA110" s="1368"/>
      <c r="AB110" s="1368"/>
      <c r="AC110" s="1368"/>
      <c r="AD110" s="1368"/>
      <c r="AE110" s="1368"/>
      <c r="AF110" s="1634"/>
      <c r="AG110" s="624"/>
      <c r="AH110" s="624"/>
      <c r="AI110" s="624"/>
      <c r="AJ110" s="624"/>
      <c r="AK110" s="1643">
        <v>11</v>
      </c>
    </row>
    <row s="1643" customFormat="1" customHeight="1" ht="11.549999999999999">
      <c r="A111" s="989"/>
      <c r="B111" s="989"/>
      <c r="C111" s="989"/>
      <c r="D111" s="989"/>
      <c r="E111" s="989"/>
      <c r="F111" s="1638"/>
      <c r="G111" s="1638"/>
      <c r="H111" s="353"/>
      <c r="N111" s="1368"/>
      <c r="P111" s="1368"/>
      <c r="Q111" s="1638"/>
      <c r="R111" s="1638"/>
      <c r="S111" s="1368"/>
      <c r="T111" s="1368"/>
      <c r="U111" s="1368"/>
      <c r="V111" s="1368"/>
      <c r="W111" s="1638"/>
      <c r="X111" s="1368"/>
      <c r="Y111" s="1368"/>
      <c r="Z111" s="546"/>
      <c r="AA111" s="1368"/>
      <c r="AB111" s="1368"/>
      <c r="AC111" s="1368"/>
      <c r="AD111" s="1368"/>
      <c r="AE111" s="1368"/>
      <c r="AF111" s="1634"/>
      <c r="AG111" s="624"/>
      <c r="AH111" s="624"/>
      <c r="AI111" s="624"/>
      <c r="AJ111" s="624"/>
      <c r="AK111" s="1643">
        <v>11</v>
      </c>
    </row>
    <row s="1643" customFormat="1" customHeight="1" ht="11.549999999999999">
      <c r="A112" s="989"/>
      <c r="B112" s="989"/>
      <c r="C112" s="989"/>
      <c r="D112" s="989"/>
      <c r="E112" s="989"/>
      <c r="F112" s="1638"/>
      <c r="G112" s="1638"/>
      <c r="H112" s="353"/>
      <c r="N112" s="1368"/>
      <c r="P112" s="1368"/>
      <c r="Q112" s="1638"/>
      <c r="R112" s="1638"/>
      <c r="S112" s="1368"/>
      <c r="T112" s="1368"/>
      <c r="U112" s="1368"/>
      <c r="V112" s="1368"/>
      <c r="W112" s="1638"/>
      <c r="X112" s="1368"/>
      <c r="Y112" s="1368"/>
      <c r="Z112" s="546"/>
      <c r="AA112" s="1368"/>
      <c r="AB112" s="1368"/>
      <c r="AC112" s="1368"/>
      <c r="AD112" s="1368"/>
      <c r="AE112" s="1368"/>
      <c r="AF112" s="1634"/>
      <c r="AG112" s="624"/>
      <c r="AH112" s="624"/>
      <c r="AI112" s="624"/>
      <c r="AJ112" s="624"/>
      <c r="AK112" s="1643">
        <v>11</v>
      </c>
    </row>
    <row s="1643" customFormat="1" customHeight="1" ht="11.549999999999999">
      <c r="A113" s="989"/>
      <c r="B113" s="989"/>
      <c r="C113" s="989"/>
      <c r="D113" s="989"/>
      <c r="E113" s="989"/>
      <c r="F113" s="1638"/>
      <c r="G113" s="1638"/>
      <c r="H113" s="353"/>
      <c r="N113" s="1368"/>
      <c r="P113" s="1368"/>
      <c r="Q113" s="1638"/>
      <c r="R113" s="1638"/>
      <c r="S113" s="1368"/>
      <c r="T113" s="1368"/>
      <c r="U113" s="1368"/>
      <c r="V113" s="1368"/>
      <c r="W113" s="1638"/>
      <c r="X113" s="1368"/>
      <c r="Y113" s="1368"/>
      <c r="Z113" s="546"/>
      <c r="AA113" s="1368"/>
      <c r="AB113" s="1368"/>
      <c r="AC113" s="1368"/>
      <c r="AD113" s="1368"/>
      <c r="AE113" s="1368"/>
      <c r="AF113" s="1634"/>
      <c r="AG113" s="624"/>
      <c r="AH113" s="624"/>
      <c r="AI113" s="624"/>
      <c r="AJ113" s="624"/>
      <c r="AK113" s="1643">
        <v>11</v>
      </c>
    </row>
    <row s="1643" customFormat="1" customHeight="1" ht="11.549999999999999">
      <c r="A114" s="989"/>
      <c r="B114" s="989"/>
      <c r="C114" s="989"/>
      <c r="D114" s="989"/>
      <c r="E114" s="989"/>
      <c r="F114" s="1638"/>
      <c r="G114" s="1638"/>
      <c r="H114" s="353"/>
      <c r="N114" s="1368"/>
      <c r="P114" s="1368"/>
      <c r="Q114" s="1638"/>
      <c r="R114" s="1638"/>
      <c r="S114" s="1368"/>
      <c r="T114" s="1368"/>
      <c r="U114" s="1368"/>
      <c r="V114" s="1368"/>
      <c r="W114" s="1638"/>
      <c r="X114" s="1368"/>
      <c r="Y114" s="1368"/>
      <c r="Z114" s="546"/>
      <c r="AA114" s="1368"/>
      <c r="AB114" s="1368"/>
      <c r="AC114" s="1368"/>
      <c r="AD114" s="1368"/>
      <c r="AE114" s="1368"/>
      <c r="AF114" s="1634"/>
      <c r="AG114" s="624"/>
      <c r="AH114" s="624"/>
      <c r="AI114" s="624"/>
      <c r="AJ114" s="624"/>
      <c r="AK114" s="1643">
        <v>11</v>
      </c>
    </row>
    <row s="1643" customFormat="1" customHeight="1" ht="11.549999999999999">
      <c r="A115" s="989"/>
      <c r="B115" s="989"/>
      <c r="C115" s="989"/>
      <c r="D115" s="989"/>
      <c r="E115" s="989"/>
      <c r="F115" s="1638"/>
      <c r="G115" s="1638"/>
      <c r="H115" s="353"/>
      <c r="N115" s="1368"/>
      <c r="P115" s="1368"/>
      <c r="Q115" s="1638"/>
      <c r="R115" s="1638"/>
      <c r="S115" s="1368"/>
      <c r="T115" s="1368"/>
      <c r="U115" s="1368"/>
      <c r="V115" s="1368"/>
      <c r="W115" s="1638"/>
      <c r="X115" s="1368"/>
      <c r="Y115" s="1368"/>
      <c r="Z115" s="546"/>
      <c r="AA115" s="1368"/>
      <c r="AB115" s="1368"/>
      <c r="AC115" s="1368"/>
      <c r="AD115" s="1368"/>
      <c r="AE115" s="1368"/>
      <c r="AF115" s="1634"/>
      <c r="AG115" s="624"/>
      <c r="AH115" s="624"/>
      <c r="AI115" s="624"/>
      <c r="AJ115" s="624"/>
      <c r="AK115" s="1643">
        <v>11</v>
      </c>
    </row>
    <row s="1643" customFormat="1" customHeight="1" ht="11.549999999999999">
      <c r="A116" s="989"/>
      <c r="B116" s="989"/>
      <c r="C116" s="989"/>
      <c r="D116" s="989"/>
      <c r="E116" s="989"/>
      <c r="F116" s="1638"/>
      <c r="G116" s="1638"/>
      <c r="H116" s="353"/>
      <c r="N116" s="1368"/>
      <c r="P116" s="1368"/>
      <c r="Q116" s="1638"/>
      <c r="R116" s="1638"/>
      <c r="S116" s="1368"/>
      <c r="T116" s="1368"/>
      <c r="U116" s="1368"/>
      <c r="V116" s="1368"/>
      <c r="W116" s="1638"/>
      <c r="X116" s="1368"/>
      <c r="Y116" s="1368"/>
      <c r="Z116" s="546"/>
      <c r="AA116" s="1368"/>
      <c r="AB116" s="1368"/>
      <c r="AC116" s="1368"/>
      <c r="AD116" s="1368"/>
      <c r="AE116" s="1368"/>
      <c r="AF116" s="1634"/>
      <c r="AG116" s="624"/>
      <c r="AH116" s="624"/>
      <c r="AI116" s="624"/>
      <c r="AJ116" s="624"/>
      <c r="AK116" s="1643">
        <v>11</v>
      </c>
    </row>
    <row s="1643" customFormat="1" customHeight="1" ht="11.549999999999999">
      <c r="A117" s="989"/>
      <c r="B117" s="989"/>
      <c r="C117" s="989"/>
      <c r="D117" s="989"/>
      <c r="E117" s="989"/>
      <c r="F117" s="1638"/>
      <c r="G117" s="1638"/>
      <c r="H117" s="353"/>
      <c r="N117" s="1368"/>
      <c r="P117" s="1368"/>
      <c r="Q117" s="1638"/>
      <c r="R117" s="1638"/>
      <c r="S117" s="1368"/>
      <c r="T117" s="1368"/>
      <c r="U117" s="1368"/>
      <c r="V117" s="1368"/>
      <c r="W117" s="1638"/>
      <c r="X117" s="1368"/>
      <c r="Y117" s="1368"/>
      <c r="Z117" s="546"/>
      <c r="AA117" s="1368"/>
      <c r="AB117" s="1368"/>
      <c r="AC117" s="1368"/>
      <c r="AD117" s="1368"/>
      <c r="AE117" s="1368"/>
      <c r="AF117" s="1634"/>
      <c r="AG117" s="624"/>
      <c r="AH117" s="624"/>
      <c r="AI117" s="624"/>
      <c r="AJ117" s="624"/>
      <c r="AK117" s="1643">
        <v>11</v>
      </c>
    </row>
    <row s="1643" customFormat="1" customHeight="1" ht="11.549999999999999">
      <c r="A118" s="989"/>
      <c r="B118" s="989"/>
      <c r="C118" s="989"/>
      <c r="D118" s="989"/>
      <c r="E118" s="989"/>
      <c r="F118" s="1638"/>
      <c r="G118" s="1638"/>
      <c r="H118" s="353"/>
      <c r="N118" s="1368"/>
      <c r="P118" s="1368"/>
      <c r="Q118" s="1638"/>
      <c r="R118" s="1638"/>
      <c r="S118" s="1368"/>
      <c r="T118" s="1368"/>
      <c r="U118" s="1368"/>
      <c r="V118" s="1368"/>
      <c r="W118" s="1638"/>
      <c r="X118" s="1368"/>
      <c r="Y118" s="1368"/>
      <c r="Z118" s="546"/>
      <c r="AA118" s="1368"/>
      <c r="AB118" s="1368"/>
      <c r="AC118" s="1368"/>
      <c r="AD118" s="1368"/>
      <c r="AE118" s="1368"/>
      <c r="AF118" s="1634"/>
      <c r="AG118" s="624"/>
      <c r="AH118" s="624"/>
      <c r="AI118" s="624"/>
      <c r="AJ118" s="624"/>
      <c r="AK118" s="1643">
        <v>11</v>
      </c>
    </row>
    <row s="1643" customFormat="1" customHeight="1" ht="11.549999999999999">
      <c r="A119" s="989"/>
      <c r="B119" s="989"/>
      <c r="C119" s="989"/>
      <c r="D119" s="989"/>
      <c r="E119" s="989"/>
      <c r="F119" s="1638"/>
      <c r="G119" s="1638"/>
      <c r="H119" s="353"/>
      <c r="N119" s="1368"/>
      <c r="P119" s="1368"/>
      <c r="Q119" s="1638"/>
      <c r="R119" s="1638"/>
      <c r="S119" s="1368"/>
      <c r="T119" s="1368"/>
      <c r="U119" s="1368"/>
      <c r="V119" s="1368"/>
      <c r="W119" s="1638"/>
      <c r="X119" s="1368"/>
      <c r="Y119" s="1368"/>
      <c r="Z119" s="546"/>
      <c r="AA119" s="1368"/>
      <c r="AB119" s="1368"/>
      <c r="AC119" s="1368"/>
      <c r="AD119" s="1368"/>
      <c r="AE119" s="1368"/>
      <c r="AF119" s="1634"/>
      <c r="AG119" s="624"/>
      <c r="AH119" s="624"/>
      <c r="AI119" s="624"/>
      <c r="AJ119" s="624"/>
      <c r="AK119" s="1643">
        <v>11</v>
      </c>
    </row>
    <row s="1643" customFormat="1" customHeight="1" ht="11.549999999999999">
      <c r="A120" s="989"/>
      <c r="B120" s="989"/>
      <c r="C120" s="989"/>
      <c r="D120" s="989"/>
      <c r="E120" s="989"/>
      <c r="F120" s="1638"/>
      <c r="G120" s="1638"/>
      <c r="H120" s="353"/>
      <c r="N120" s="1368"/>
      <c r="P120" s="1368"/>
      <c r="Q120" s="1638"/>
      <c r="R120" s="1638"/>
      <c r="S120" s="1368"/>
      <c r="T120" s="1368"/>
      <c r="U120" s="1368"/>
      <c r="V120" s="1368"/>
      <c r="W120" s="1638"/>
      <c r="X120" s="1368"/>
      <c r="Y120" s="1368"/>
      <c r="Z120" s="546"/>
      <c r="AA120" s="1368"/>
      <c r="AB120" s="1368"/>
      <c r="AC120" s="1368"/>
      <c r="AD120" s="1368"/>
      <c r="AE120" s="1368"/>
      <c r="AF120" s="1634"/>
      <c r="AG120" s="624"/>
      <c r="AH120" s="624"/>
      <c r="AI120" s="624"/>
      <c r="AJ120" s="624"/>
      <c r="AK120" s="1643">
        <v>11</v>
      </c>
    </row>
    <row s="1643" customFormat="1" customHeight="1" ht="11.549999999999999">
      <c r="A121" s="989"/>
      <c r="B121" s="989"/>
      <c r="C121" s="989"/>
      <c r="D121" s="989"/>
      <c r="E121" s="989"/>
      <c r="F121" s="1638"/>
      <c r="G121" s="1638"/>
      <c r="H121" s="353"/>
      <c r="N121" s="1368"/>
      <c r="P121" s="1368"/>
      <c r="Q121" s="1638"/>
      <c r="R121" s="1638"/>
      <c r="S121" s="1368"/>
      <c r="T121" s="1368"/>
      <c r="U121" s="1368"/>
      <c r="V121" s="1368"/>
      <c r="W121" s="1638"/>
      <c r="X121" s="1368"/>
      <c r="Y121" s="1368"/>
      <c r="Z121" s="546"/>
      <c r="AA121" s="1368"/>
      <c r="AB121" s="1368"/>
      <c r="AC121" s="1368"/>
      <c r="AD121" s="1368"/>
      <c r="AE121" s="1368"/>
      <c r="AF121" s="1634"/>
      <c r="AG121" s="624"/>
      <c r="AH121" s="624"/>
      <c r="AI121" s="624"/>
      <c r="AJ121" s="624"/>
      <c r="AK121" s="1643">
        <v>11</v>
      </c>
    </row>
    <row s="1643" customFormat="1" customHeight="1" ht="11.549999999999999">
      <c r="A122" s="989"/>
      <c r="B122" s="989"/>
      <c r="C122" s="989"/>
      <c r="D122" s="989"/>
      <c r="E122" s="989"/>
      <c r="F122" s="1638"/>
      <c r="G122" s="1638"/>
      <c r="H122" s="353"/>
      <c r="N122" s="1368"/>
      <c r="P122" s="1368"/>
      <c r="Q122" s="1638"/>
      <c r="R122" s="1638"/>
      <c r="S122" s="1368"/>
      <c r="T122" s="1368"/>
      <c r="U122" s="1368"/>
      <c r="V122" s="1368"/>
      <c r="W122" s="1638"/>
      <c r="X122" s="1368"/>
      <c r="Y122" s="1368"/>
      <c r="Z122" s="546"/>
      <c r="AA122" s="1368"/>
      <c r="AB122" s="1368"/>
      <c r="AC122" s="1368"/>
      <c r="AD122" s="1368"/>
      <c r="AE122" s="1368"/>
      <c r="AF122" s="1634"/>
      <c r="AG122" s="624"/>
      <c r="AH122" s="624"/>
      <c r="AI122" s="624"/>
      <c r="AJ122" s="624"/>
      <c r="AK122" s="1643">
        <v>11</v>
      </c>
    </row>
    <row s="1643" customFormat="1" customHeight="1" ht="11.549999999999999">
      <c r="A123" s="989"/>
      <c r="B123" s="989"/>
      <c r="C123" s="989"/>
      <c r="D123" s="989"/>
      <c r="E123" s="989"/>
      <c r="F123" s="1638"/>
      <c r="G123" s="1638"/>
      <c r="H123" s="353"/>
      <c r="N123" s="1368"/>
      <c r="P123" s="1368"/>
      <c r="Q123" s="1638"/>
      <c r="R123" s="1638"/>
      <c r="S123" s="1368"/>
      <c r="T123" s="1368"/>
      <c r="U123" s="1368"/>
      <c r="V123" s="1368"/>
      <c r="W123" s="1638"/>
      <c r="X123" s="1368"/>
      <c r="Y123" s="1368"/>
      <c r="Z123" s="546"/>
      <c r="AA123" s="1368"/>
      <c r="AB123" s="1368"/>
      <c r="AC123" s="1368"/>
      <c r="AD123" s="1368"/>
      <c r="AE123" s="1368"/>
      <c r="AF123" s="1634"/>
      <c r="AG123" s="624"/>
      <c r="AH123" s="624"/>
      <c r="AI123" s="624"/>
      <c r="AJ123" s="624"/>
      <c r="AK123" s="1643">
        <v>11</v>
      </c>
    </row>
    <row s="1643" customFormat="1" customHeight="1" ht="11.549999999999999">
      <c r="A124" s="989"/>
      <c r="B124" s="989"/>
      <c r="C124" s="989"/>
      <c r="D124" s="989"/>
      <c r="E124" s="989"/>
      <c r="F124" s="1638"/>
      <c r="G124" s="1638"/>
      <c r="H124" s="353"/>
      <c r="N124" s="1368"/>
      <c r="P124" s="1368"/>
      <c r="Q124" s="1638"/>
      <c r="R124" s="1638"/>
      <c r="S124" s="1368"/>
      <c r="T124" s="1368"/>
      <c r="U124" s="1368"/>
      <c r="V124" s="1368"/>
      <c r="W124" s="1638"/>
      <c r="X124" s="1368"/>
      <c r="Y124" s="1368"/>
      <c r="Z124" s="546"/>
      <c r="AA124" s="1368"/>
      <c r="AB124" s="1368"/>
      <c r="AC124" s="1368"/>
      <c r="AD124" s="1368"/>
      <c r="AE124" s="1368"/>
      <c r="AF124" s="1634"/>
      <c r="AG124" s="624"/>
      <c r="AH124" s="624"/>
      <c r="AI124" s="624"/>
      <c r="AJ124" s="624"/>
      <c r="AK124" s="1643">
        <v>11</v>
      </c>
    </row>
    <row s="1643" customFormat="1" customHeight="1" ht="11.549999999999999">
      <c r="A125" s="989"/>
      <c r="B125" s="989"/>
      <c r="C125" s="989"/>
      <c r="D125" s="989"/>
      <c r="E125" s="989"/>
      <c r="F125" s="1638"/>
      <c r="G125" s="1638"/>
      <c r="H125" s="353"/>
      <c r="N125" s="1368"/>
      <c r="P125" s="1368"/>
      <c r="Q125" s="1638"/>
      <c r="R125" s="1638"/>
      <c r="S125" s="1368"/>
      <c r="T125" s="1368"/>
      <c r="U125" s="1368"/>
      <c r="V125" s="1368"/>
      <c r="W125" s="1638"/>
      <c r="X125" s="1368"/>
      <c r="Y125" s="1368"/>
      <c r="Z125" s="546"/>
      <c r="AA125" s="1368"/>
      <c r="AB125" s="1368"/>
      <c r="AC125" s="1368"/>
      <c r="AD125" s="1368"/>
      <c r="AE125" s="1368"/>
      <c r="AF125" s="1634"/>
      <c r="AG125" s="624"/>
      <c r="AH125" s="624"/>
      <c r="AI125" s="624"/>
      <c r="AJ125" s="624"/>
      <c r="AK125" s="1643">
        <v>11</v>
      </c>
    </row>
    <row s="1643" customFormat="1" customHeight="1" ht="11.549999999999999">
      <c r="A126" s="989"/>
      <c r="B126" s="989"/>
      <c r="C126" s="989"/>
      <c r="D126" s="989"/>
      <c r="E126" s="989"/>
      <c r="F126" s="1638"/>
      <c r="G126" s="1638"/>
      <c r="H126" s="353"/>
      <c r="N126" s="1368"/>
      <c r="P126" s="1368"/>
      <c r="Q126" s="1638"/>
      <c r="R126" s="1638"/>
      <c r="S126" s="1368"/>
      <c r="T126" s="1368"/>
      <c r="U126" s="1368"/>
      <c r="V126" s="1368"/>
      <c r="W126" s="1638"/>
      <c r="X126" s="1368"/>
      <c r="Y126" s="1368"/>
      <c r="Z126" s="546"/>
      <c r="AA126" s="1368"/>
      <c r="AB126" s="1368"/>
      <c r="AC126" s="1368"/>
      <c r="AD126" s="1368"/>
      <c r="AE126" s="1368"/>
      <c r="AF126" s="1634"/>
      <c r="AG126" s="624"/>
      <c r="AH126" s="624"/>
      <c r="AI126" s="624"/>
      <c r="AJ126" s="624"/>
      <c r="AK126" s="1643">
        <v>11</v>
      </c>
    </row>
    <row s="1643" customFormat="1" customHeight="1" ht="11.549999999999999">
      <c r="A127" s="989"/>
      <c r="B127" s="989"/>
      <c r="C127" s="989"/>
      <c r="D127" s="989"/>
      <c r="E127" s="989"/>
      <c r="F127" s="1638"/>
      <c r="G127" s="1638"/>
      <c r="H127" s="353"/>
      <c r="N127" s="1368"/>
      <c r="P127" s="1368"/>
      <c r="Q127" s="1638"/>
      <c r="R127" s="1638"/>
      <c r="S127" s="1368"/>
      <c r="T127" s="1368"/>
      <c r="U127" s="1368"/>
      <c r="V127" s="1368"/>
      <c r="W127" s="1638"/>
      <c r="X127" s="1368"/>
      <c r="Y127" s="1368"/>
      <c r="Z127" s="546"/>
      <c r="AA127" s="1368"/>
      <c r="AB127" s="1368"/>
      <c r="AC127" s="1368"/>
      <c r="AD127" s="1368"/>
      <c r="AE127" s="1368"/>
      <c r="AF127" s="1634"/>
      <c r="AG127" s="624"/>
      <c r="AH127" s="624"/>
      <c r="AI127" s="624"/>
      <c r="AJ127" s="624"/>
      <c r="AK127" s="1643">
        <v>11</v>
      </c>
    </row>
    <row s="1643" customFormat="1" customHeight="1" ht="11.549999999999999">
      <c r="A128" s="989"/>
      <c r="B128" s="989"/>
      <c r="C128" s="989"/>
      <c r="D128" s="989"/>
      <c r="E128" s="989"/>
      <c r="F128" s="1638"/>
      <c r="G128" s="1638"/>
      <c r="H128" s="353"/>
      <c r="N128" s="1368"/>
      <c r="P128" s="1368"/>
      <c r="Q128" s="1638"/>
      <c r="R128" s="1638"/>
      <c r="S128" s="1368"/>
      <c r="T128" s="1368"/>
      <c r="U128" s="1368"/>
      <c r="V128" s="1368"/>
      <c r="W128" s="1638"/>
      <c r="X128" s="1368"/>
      <c r="Y128" s="1368"/>
      <c r="Z128" s="546"/>
      <c r="AA128" s="1368"/>
      <c r="AB128" s="1368"/>
      <c r="AC128" s="1368"/>
      <c r="AD128" s="1368"/>
      <c r="AE128" s="1368"/>
      <c r="AF128" s="1634"/>
      <c r="AG128" s="624"/>
      <c r="AH128" s="624"/>
      <c r="AI128" s="624"/>
      <c r="AJ128" s="624"/>
      <c r="AK128" s="1643">
        <v>11</v>
      </c>
    </row>
    <row s="1643" customFormat="1" customHeight="1" ht="11.549999999999999">
      <c r="A129" s="989"/>
      <c r="B129" s="989"/>
      <c r="C129" s="989"/>
      <c r="D129" s="989"/>
      <c r="E129" s="989"/>
      <c r="F129" s="1638"/>
      <c r="G129" s="1638"/>
      <c r="H129" s="353"/>
      <c r="N129" s="1368"/>
      <c r="P129" s="1368"/>
      <c r="Q129" s="1638"/>
      <c r="R129" s="1638"/>
      <c r="S129" s="1368"/>
      <c r="T129" s="1368"/>
      <c r="U129" s="1368"/>
      <c r="V129" s="1368"/>
      <c r="W129" s="1638"/>
      <c r="X129" s="1368"/>
      <c r="Y129" s="1368"/>
      <c r="Z129" s="546"/>
      <c r="AA129" s="1368"/>
      <c r="AB129" s="1368"/>
      <c r="AC129" s="1368"/>
      <c r="AD129" s="1368"/>
      <c r="AE129" s="1368"/>
      <c r="AF129" s="1634"/>
      <c r="AG129" s="624"/>
      <c r="AH129" s="624"/>
      <c r="AI129" s="624"/>
      <c r="AJ129" s="624"/>
      <c r="AK129" s="1643">
        <v>11</v>
      </c>
    </row>
    <row s="1643" customFormat="1" customHeight="1" ht="11.549999999999999">
      <c r="A130" s="989"/>
      <c r="B130" s="989"/>
      <c r="C130" s="989"/>
      <c r="D130" s="989"/>
      <c r="E130" s="989"/>
      <c r="F130" s="1638"/>
      <c r="G130" s="1638"/>
      <c r="H130" s="353"/>
      <c r="N130" s="1368"/>
      <c r="P130" s="1368"/>
      <c r="Q130" s="1638"/>
      <c r="R130" s="1638"/>
      <c r="S130" s="1368"/>
      <c r="T130" s="1368"/>
      <c r="U130" s="1368"/>
      <c r="V130" s="1368"/>
      <c r="W130" s="1638"/>
      <c r="X130" s="1368"/>
      <c r="Y130" s="1368"/>
      <c r="Z130" s="546"/>
      <c r="AA130" s="1368"/>
      <c r="AB130" s="1368"/>
      <c r="AC130" s="1368"/>
      <c r="AD130" s="1368"/>
      <c r="AE130" s="1368"/>
      <c r="AF130" s="1634"/>
      <c r="AG130" s="624"/>
      <c r="AH130" s="624"/>
      <c r="AI130" s="624"/>
      <c r="AJ130" s="624"/>
      <c r="AK130" s="1643">
        <v>11</v>
      </c>
    </row>
    <row s="1643" customFormat="1" customHeight="1" ht="11.549999999999999">
      <c r="A131" s="989"/>
      <c r="B131" s="989"/>
      <c r="C131" s="989"/>
      <c r="D131" s="989"/>
      <c r="E131" s="989"/>
      <c r="F131" s="1638"/>
      <c r="G131" s="1638"/>
      <c r="H131" s="353"/>
      <c r="N131" s="1368"/>
      <c r="P131" s="1368"/>
      <c r="Q131" s="1638"/>
      <c r="R131" s="1638"/>
      <c r="S131" s="1368"/>
      <c r="T131" s="1368"/>
      <c r="U131" s="1368"/>
      <c r="V131" s="1368"/>
      <c r="W131" s="1638"/>
      <c r="X131" s="1368"/>
      <c r="Y131" s="1368"/>
      <c r="Z131" s="546"/>
      <c r="AA131" s="1368"/>
      <c r="AB131" s="1368"/>
      <c r="AC131" s="1368"/>
      <c r="AD131" s="1368"/>
      <c r="AE131" s="1368"/>
      <c r="AF131" s="1634"/>
      <c r="AG131" s="624"/>
      <c r="AH131" s="624"/>
      <c r="AI131" s="624"/>
      <c r="AJ131" s="624"/>
      <c r="AK131" s="1643">
        <v>11</v>
      </c>
    </row>
    <row s="1643" customFormat="1" customHeight="1" ht="11.549999999999999">
      <c r="A132" s="989"/>
      <c r="B132" s="989"/>
      <c r="C132" s="989"/>
      <c r="D132" s="989"/>
      <c r="E132" s="989"/>
      <c r="F132" s="1638"/>
      <c r="G132" s="1638"/>
      <c r="H132" s="353"/>
      <c r="N132" s="1368"/>
      <c r="P132" s="1368"/>
      <c r="Q132" s="1638"/>
      <c r="R132" s="1638"/>
      <c r="S132" s="1368"/>
      <c r="T132" s="1368"/>
      <c r="U132" s="1368"/>
      <c r="V132" s="1368"/>
      <c r="W132" s="1638"/>
      <c r="X132" s="1368"/>
      <c r="Y132" s="1368"/>
      <c r="Z132" s="546"/>
      <c r="AA132" s="1368"/>
      <c r="AB132" s="1368"/>
      <c r="AC132" s="1368"/>
      <c r="AD132" s="1368"/>
      <c r="AE132" s="1368"/>
      <c r="AF132" s="1634"/>
      <c r="AG132" s="624"/>
      <c r="AH132" s="624"/>
      <c r="AI132" s="624"/>
      <c r="AJ132" s="624"/>
      <c r="AK132" s="1643">
        <v>11</v>
      </c>
    </row>
    <row s="1643" customFormat="1" customHeight="1" ht="11.549999999999999">
      <c r="A133" s="989"/>
      <c r="B133" s="989"/>
      <c r="C133" s="989"/>
      <c r="D133" s="989"/>
      <c r="E133" s="989"/>
      <c r="F133" s="1638"/>
      <c r="G133" s="1638"/>
      <c r="H133" s="353"/>
      <c r="N133" s="1368"/>
      <c r="P133" s="1368"/>
      <c r="Q133" s="1638"/>
      <c r="R133" s="1638"/>
      <c r="S133" s="1368"/>
      <c r="T133" s="1368"/>
      <c r="U133" s="1368"/>
      <c r="V133" s="1368"/>
      <c r="W133" s="1638"/>
      <c r="X133" s="1368"/>
      <c r="Y133" s="1368"/>
      <c r="Z133" s="546"/>
      <c r="AA133" s="1368"/>
      <c r="AB133" s="1368"/>
      <c r="AC133" s="1368"/>
      <c r="AD133" s="1368"/>
      <c r="AE133" s="1368"/>
      <c r="AF133" s="1634"/>
      <c r="AG133" s="624"/>
      <c r="AH133" s="624"/>
      <c r="AI133" s="624"/>
      <c r="AJ133" s="624"/>
      <c r="AK133" s="1643">
        <v>11</v>
      </c>
    </row>
    <row s="1643" customFormat="1" customHeight="1" ht="11.549999999999999">
      <c r="A134" s="989"/>
      <c r="B134" s="989"/>
      <c r="C134" s="989"/>
      <c r="D134" s="989"/>
      <c r="E134" s="989"/>
      <c r="F134" s="1638"/>
      <c r="G134" s="1638"/>
      <c r="H134" s="353"/>
      <c r="N134" s="1368"/>
      <c r="P134" s="1368"/>
      <c r="Q134" s="1638"/>
      <c r="R134" s="1638"/>
      <c r="S134" s="1368"/>
      <c r="T134" s="1368"/>
      <c r="U134" s="1368"/>
      <c r="V134" s="1368"/>
      <c r="W134" s="1638"/>
      <c r="X134" s="1368"/>
      <c r="Y134" s="1368"/>
      <c r="Z134" s="546"/>
      <c r="AA134" s="1368"/>
      <c r="AB134" s="1368"/>
      <c r="AC134" s="1368"/>
      <c r="AD134" s="1368"/>
      <c r="AE134" s="1368"/>
      <c r="AF134" s="1634"/>
      <c r="AG134" s="624"/>
      <c r="AH134" s="624"/>
      <c r="AI134" s="624"/>
      <c r="AJ134" s="624"/>
      <c r="AK134" s="1643">
        <v>11</v>
      </c>
    </row>
    <row s="1643" customFormat="1" customHeight="1" ht="11.549999999999999">
      <c r="A135" s="989"/>
      <c r="B135" s="989"/>
      <c r="C135" s="989"/>
      <c r="D135" s="989"/>
      <c r="E135" s="989"/>
      <c r="F135" s="1638"/>
      <c r="G135" s="1638"/>
      <c r="H135" s="353"/>
      <c r="N135" s="1368"/>
      <c r="P135" s="1368"/>
      <c r="Q135" s="1638"/>
      <c r="R135" s="1638"/>
      <c r="S135" s="1368"/>
      <c r="T135" s="1368"/>
      <c r="U135" s="1368"/>
      <c r="V135" s="1368"/>
      <c r="W135" s="1638"/>
      <c r="X135" s="1368"/>
      <c r="Y135" s="1368"/>
      <c r="Z135" s="546"/>
      <c r="AA135" s="1368"/>
      <c r="AB135" s="1368"/>
      <c r="AC135" s="1368"/>
      <c r="AD135" s="1368"/>
      <c r="AE135" s="1368"/>
      <c r="AF135" s="1634"/>
      <c r="AG135" s="624"/>
      <c r="AH135" s="624"/>
      <c r="AI135" s="624"/>
      <c r="AJ135" s="624"/>
      <c r="AK135" s="1643">
        <v>11</v>
      </c>
    </row>
    <row s="1643" customFormat="1" customHeight="1" ht="11.549999999999999">
      <c r="A136" s="989"/>
      <c r="B136" s="989"/>
      <c r="C136" s="989"/>
      <c r="D136" s="989"/>
      <c r="E136" s="989"/>
      <c r="F136" s="1638"/>
      <c r="G136" s="1638"/>
      <c r="H136" s="353"/>
      <c r="N136" s="1368"/>
      <c r="P136" s="1368"/>
      <c r="Q136" s="1638"/>
      <c r="R136" s="1638"/>
      <c r="S136" s="1368"/>
      <c r="T136" s="1368"/>
      <c r="U136" s="1368"/>
      <c r="V136" s="1368"/>
      <c r="W136" s="1638"/>
      <c r="X136" s="1368"/>
      <c r="Y136" s="1368"/>
      <c r="Z136" s="546"/>
      <c r="AA136" s="1368"/>
      <c r="AB136" s="1368"/>
      <c r="AC136" s="1368"/>
      <c r="AD136" s="1368"/>
      <c r="AE136" s="1368"/>
      <c r="AF136" s="1634"/>
      <c r="AG136" s="624"/>
      <c r="AH136" s="624"/>
      <c r="AI136" s="624"/>
      <c r="AJ136" s="624"/>
      <c r="AK136" s="1643">
        <v>11</v>
      </c>
    </row>
    <row s="1643" customFormat="1" customHeight="1" ht="11.549999999999999">
      <c r="A137" s="989"/>
      <c r="B137" s="989"/>
      <c r="C137" s="989"/>
      <c r="D137" s="989"/>
      <c r="E137" s="989"/>
      <c r="F137" s="1638"/>
      <c r="G137" s="1638"/>
      <c r="H137" s="353"/>
      <c r="N137" s="1368"/>
      <c r="P137" s="1368"/>
      <c r="Q137" s="1638"/>
      <c r="R137" s="1638"/>
      <c r="S137" s="1368"/>
      <c r="T137" s="1368"/>
      <c r="U137" s="1368"/>
      <c r="V137" s="1368"/>
      <c r="W137" s="1638"/>
      <c r="X137" s="1368"/>
      <c r="Y137" s="1368"/>
      <c r="Z137" s="546"/>
      <c r="AA137" s="1368"/>
      <c r="AB137" s="1368"/>
      <c r="AC137" s="1368"/>
      <c r="AD137" s="1368"/>
      <c r="AE137" s="1368"/>
      <c r="AF137" s="1634"/>
      <c r="AG137" s="624"/>
      <c r="AH137" s="624"/>
      <c r="AI137" s="624"/>
      <c r="AJ137" s="624"/>
      <c r="AK137" s="1643">
        <v>11</v>
      </c>
    </row>
    <row s="1643" customFormat="1" customHeight="1" ht="11.549999999999999">
      <c r="A138" s="989"/>
      <c r="B138" s="989"/>
      <c r="C138" s="989"/>
      <c r="D138" s="989"/>
      <c r="E138" s="989"/>
      <c r="F138" s="1638"/>
      <c r="G138" s="1638"/>
      <c r="H138" s="353"/>
      <c r="N138" s="1368"/>
      <c r="P138" s="1368"/>
      <c r="Q138" s="1638"/>
      <c r="R138" s="1638"/>
      <c r="S138" s="1368"/>
      <c r="T138" s="1368"/>
      <c r="U138" s="1368"/>
      <c r="V138" s="1368"/>
      <c r="W138" s="1638"/>
      <c r="X138" s="1368"/>
      <c r="Y138" s="1368"/>
      <c r="Z138" s="546"/>
      <c r="AA138" s="1368"/>
      <c r="AB138" s="1368"/>
      <c r="AC138" s="1368"/>
      <c r="AD138" s="1368"/>
      <c r="AE138" s="1368"/>
      <c r="AF138" s="1634"/>
      <c r="AG138" s="624"/>
      <c r="AH138" s="624"/>
      <c r="AI138" s="624"/>
      <c r="AJ138" s="624"/>
      <c r="AK138" s="1643">
        <v>11</v>
      </c>
    </row>
    <row s="1643" customFormat="1" customHeight="1" ht="11.549999999999999">
      <c r="A139" s="989"/>
      <c r="B139" s="989"/>
      <c r="C139" s="989"/>
      <c r="D139" s="989"/>
      <c r="E139" s="989"/>
      <c r="F139" s="1638"/>
      <c r="G139" s="1638"/>
      <c r="H139" s="353"/>
      <c r="N139" s="1368"/>
      <c r="P139" s="1368"/>
      <c r="Q139" s="1638"/>
      <c r="R139" s="1638"/>
      <c r="S139" s="1368"/>
      <c r="T139" s="1368"/>
      <c r="U139" s="1368"/>
      <c r="V139" s="1368"/>
      <c r="W139" s="1638"/>
      <c r="X139" s="1368"/>
      <c r="Y139" s="1368"/>
      <c r="Z139" s="546"/>
      <c r="AA139" s="1368"/>
      <c r="AB139" s="1368"/>
      <c r="AC139" s="1368"/>
      <c r="AD139" s="1368"/>
      <c r="AE139" s="1368"/>
      <c r="AF139" s="1634"/>
      <c r="AG139" s="624"/>
      <c r="AH139" s="624"/>
      <c r="AI139" s="624"/>
      <c r="AJ139" s="624"/>
      <c r="AK139" s="1643">
        <v>11</v>
      </c>
    </row>
    <row s="1643" customFormat="1" customHeight="1" ht="11.549999999999999">
      <c r="A140" s="989"/>
      <c r="B140" s="989"/>
      <c r="C140" s="989"/>
      <c r="D140" s="989"/>
      <c r="E140" s="989"/>
      <c r="F140" s="1638"/>
      <c r="G140" s="1638"/>
      <c r="H140" s="353"/>
      <c r="N140" s="1368"/>
      <c r="P140" s="1368"/>
      <c r="Q140" s="1638"/>
      <c r="R140" s="1638"/>
      <c r="S140" s="1368"/>
      <c r="T140" s="1368"/>
      <c r="U140" s="1368"/>
      <c r="V140" s="1368"/>
      <c r="W140" s="1638"/>
      <c r="X140" s="1368"/>
      <c r="Y140" s="1368"/>
      <c r="Z140" s="546"/>
      <c r="AA140" s="1368"/>
      <c r="AB140" s="1368"/>
      <c r="AC140" s="1368"/>
      <c r="AD140" s="1368"/>
      <c r="AE140" s="1368"/>
      <c r="AF140" s="1634"/>
      <c r="AG140" s="624"/>
      <c r="AH140" s="624"/>
      <c r="AI140" s="624"/>
      <c r="AJ140" s="624"/>
      <c r="AK140" s="1643">
        <v>11</v>
      </c>
    </row>
    <row s="1643" customFormat="1" customHeight="1" ht="11.549999999999999">
      <c r="A141" s="989"/>
      <c r="B141" s="989"/>
      <c r="C141" s="989"/>
      <c r="D141" s="989"/>
      <c r="E141" s="989"/>
      <c r="F141" s="1638"/>
      <c r="G141" s="1638"/>
      <c r="H141" s="353"/>
      <c r="N141" s="1368"/>
      <c r="P141" s="1368"/>
      <c r="Q141" s="1638"/>
      <c r="R141" s="1638"/>
      <c r="S141" s="1368"/>
      <c r="T141" s="1368"/>
      <c r="U141" s="1368"/>
      <c r="V141" s="1368"/>
      <c r="W141" s="1638"/>
      <c r="X141" s="1368"/>
      <c r="Y141" s="1368"/>
      <c r="Z141" s="546"/>
      <c r="AA141" s="1368"/>
      <c r="AB141" s="1368"/>
      <c r="AC141" s="1368"/>
      <c r="AD141" s="1368"/>
      <c r="AE141" s="1368"/>
      <c r="AF141" s="1634"/>
      <c r="AG141" s="624"/>
      <c r="AH141" s="624"/>
      <c r="AI141" s="624"/>
      <c r="AJ141" s="624"/>
      <c r="AK141" s="1643">
        <v>11</v>
      </c>
    </row>
    <row s="1643" customFormat="1" customHeight="1" ht="11.549999999999999">
      <c r="A142" s="989"/>
      <c r="B142" s="989"/>
      <c r="C142" s="989"/>
      <c r="D142" s="989"/>
      <c r="E142" s="989"/>
      <c r="F142" s="1638"/>
      <c r="G142" s="1638"/>
      <c r="H142" s="353"/>
      <c r="N142" s="1368"/>
      <c r="P142" s="1368"/>
      <c r="Q142" s="1638"/>
      <c r="R142" s="1638"/>
      <c r="S142" s="1368"/>
      <c r="T142" s="1368"/>
      <c r="U142" s="1368"/>
      <c r="V142" s="1368"/>
      <c r="W142" s="1638"/>
      <c r="X142" s="1368"/>
      <c r="Y142" s="1368"/>
      <c r="Z142" s="546"/>
      <c r="AA142" s="1368"/>
      <c r="AB142" s="1368"/>
      <c r="AC142" s="1368"/>
      <c r="AD142" s="1368"/>
      <c r="AE142" s="1368"/>
      <c r="AF142" s="1634"/>
      <c r="AG142" s="624"/>
      <c r="AH142" s="624"/>
      <c r="AI142" s="624"/>
      <c r="AJ142" s="624"/>
      <c r="AK142" s="1643">
        <v>11</v>
      </c>
    </row>
    <row s="1643" customFormat="1" customHeight="1" ht="11.549999999999999">
      <c r="A143" s="989"/>
      <c r="B143" s="989"/>
      <c r="C143" s="989"/>
      <c r="D143" s="989"/>
      <c r="E143" s="989"/>
      <c r="F143" s="1638"/>
      <c r="G143" s="1638"/>
      <c r="H143" s="353"/>
      <c r="N143" s="1368"/>
      <c r="P143" s="1368"/>
      <c r="Q143" s="1638"/>
      <c r="R143" s="1638"/>
      <c r="S143" s="1368"/>
      <c r="T143" s="1368"/>
      <c r="U143" s="1368"/>
      <c r="V143" s="1368"/>
      <c r="W143" s="1638"/>
      <c r="X143" s="1368"/>
      <c r="Y143" s="1368"/>
      <c r="Z143" s="546"/>
      <c r="AA143" s="1368"/>
      <c r="AB143" s="1368"/>
      <c r="AC143" s="1368"/>
      <c r="AD143" s="1368"/>
      <c r="AE143" s="1368"/>
      <c r="AF143" s="1634"/>
      <c r="AG143" s="624"/>
      <c r="AH143" s="624"/>
      <c r="AI143" s="624"/>
      <c r="AJ143" s="624"/>
      <c r="AK143" s="1643">
        <v>11</v>
      </c>
    </row>
    <row s="1643" customFormat="1" customHeight="1" ht="11.549999999999999">
      <c r="A144" s="989"/>
      <c r="B144" s="989"/>
      <c r="C144" s="989"/>
      <c r="D144" s="989"/>
      <c r="E144" s="989"/>
      <c r="F144" s="1638"/>
      <c r="G144" s="1638"/>
      <c r="H144" s="353"/>
      <c r="N144" s="1368"/>
      <c r="P144" s="1368"/>
      <c r="Q144" s="1638"/>
      <c r="R144" s="1638"/>
      <c r="S144" s="1368"/>
      <c r="T144" s="1368"/>
      <c r="U144" s="1368"/>
      <c r="V144" s="1368"/>
      <c r="W144" s="1638"/>
      <c r="X144" s="1368"/>
      <c r="Y144" s="1368"/>
      <c r="Z144" s="546"/>
      <c r="AA144" s="1368"/>
      <c r="AB144" s="1368"/>
      <c r="AC144" s="1368"/>
      <c r="AD144" s="1368"/>
      <c r="AE144" s="1368"/>
      <c r="AF144" s="1634"/>
      <c r="AG144" s="624"/>
      <c r="AH144" s="624"/>
      <c r="AI144" s="624"/>
      <c r="AJ144" s="624"/>
      <c r="AK144" s="1643">
        <v>11</v>
      </c>
    </row>
    <row s="1643" customFormat="1" customHeight="1" ht="11.549999999999999">
      <c r="A145" s="989"/>
      <c r="B145" s="989"/>
      <c r="C145" s="989"/>
      <c r="D145" s="989"/>
      <c r="E145" s="989"/>
      <c r="F145" s="1638"/>
      <c r="G145" s="1638"/>
      <c r="H145" s="353"/>
      <c r="N145" s="1368"/>
      <c r="P145" s="1368"/>
      <c r="Q145" s="1638"/>
      <c r="R145" s="1638"/>
      <c r="S145" s="1368"/>
      <c r="T145" s="1368"/>
      <c r="U145" s="1368"/>
      <c r="V145" s="1368"/>
      <c r="W145" s="1638"/>
      <c r="X145" s="1368"/>
      <c r="Y145" s="1368"/>
      <c r="Z145" s="546"/>
      <c r="AA145" s="1368"/>
      <c r="AB145" s="1368"/>
      <c r="AC145" s="1368"/>
      <c r="AD145" s="1368"/>
      <c r="AE145" s="1368"/>
      <c r="AF145" s="1634"/>
      <c r="AG145" s="624"/>
      <c r="AH145" s="624"/>
      <c r="AI145" s="624"/>
      <c r="AJ145" s="624"/>
      <c r="AK145" s="1643">
        <v>11</v>
      </c>
    </row>
    <row s="1643" customFormat="1" customHeight="1" ht="11.549999999999999">
      <c r="A146" s="989"/>
      <c r="B146" s="989"/>
      <c r="C146" s="989"/>
      <c r="D146" s="989"/>
      <c r="E146" s="989"/>
      <c r="F146" s="1638"/>
      <c r="G146" s="1638"/>
      <c r="H146" s="353"/>
      <c r="N146" s="1368"/>
      <c r="P146" s="1368"/>
      <c r="Q146" s="1638"/>
      <c r="R146" s="1638"/>
      <c r="S146" s="1368"/>
      <c r="T146" s="1368"/>
      <c r="U146" s="1368"/>
      <c r="V146" s="1368"/>
      <c r="W146" s="1638"/>
      <c r="X146" s="1368"/>
      <c r="Y146" s="1368"/>
      <c r="Z146" s="546"/>
      <c r="AA146" s="1368"/>
      <c r="AB146" s="1368"/>
      <c r="AC146" s="1368"/>
      <c r="AD146" s="1368"/>
      <c r="AE146" s="1368"/>
      <c r="AF146" s="1634"/>
      <c r="AG146" s="624"/>
      <c r="AH146" s="624"/>
      <c r="AI146" s="624"/>
      <c r="AJ146" s="624"/>
      <c r="AK146" s="1643">
        <v>11</v>
      </c>
    </row>
    <row s="1643" customFormat="1" customHeight="1" ht="11.549999999999999">
      <c r="A147" s="989"/>
      <c r="B147" s="989"/>
      <c r="C147" s="989"/>
      <c r="D147" s="989"/>
      <c r="E147" s="989"/>
      <c r="F147" s="1638"/>
      <c r="G147" s="1638"/>
      <c r="H147" s="353"/>
      <c r="N147" s="1368"/>
      <c r="P147" s="1368"/>
      <c r="Q147" s="1638"/>
      <c r="R147" s="1638"/>
      <c r="S147" s="1368"/>
      <c r="T147" s="1368"/>
      <c r="U147" s="1368"/>
      <c r="V147" s="1368"/>
      <c r="W147" s="1638"/>
      <c r="X147" s="1368"/>
      <c r="Y147" s="1368"/>
      <c r="Z147" s="546"/>
      <c r="AA147" s="1368"/>
      <c r="AB147" s="1368"/>
      <c r="AC147" s="1368"/>
      <c r="AD147" s="1368"/>
      <c r="AE147" s="1368"/>
      <c r="AF147" s="1634"/>
      <c r="AG147" s="624"/>
      <c r="AH147" s="624"/>
      <c r="AI147" s="624"/>
      <c r="AJ147" s="624"/>
      <c r="AK147" s="1643">
        <v>11</v>
      </c>
    </row>
    <row s="1643" customFormat="1" customHeight="1" ht="11.549999999999999">
      <c r="A148" s="989"/>
      <c r="B148" s="989"/>
      <c r="C148" s="989"/>
      <c r="D148" s="989"/>
      <c r="E148" s="989"/>
      <c r="F148" s="1638"/>
      <c r="G148" s="1638"/>
      <c r="H148" s="353"/>
      <c r="N148" s="1368"/>
      <c r="P148" s="1368"/>
      <c r="Q148" s="1638"/>
      <c r="R148" s="1638"/>
      <c r="S148" s="1368"/>
      <c r="T148" s="1368"/>
      <c r="U148" s="1368"/>
      <c r="V148" s="1368"/>
      <c r="W148" s="1638"/>
      <c r="X148" s="1368"/>
      <c r="Y148" s="1368"/>
      <c r="Z148" s="546"/>
      <c r="AA148" s="1368"/>
      <c r="AB148" s="1368"/>
      <c r="AC148" s="1368"/>
      <c r="AD148" s="1368"/>
      <c r="AE148" s="1368"/>
      <c r="AF148" s="1634"/>
      <c r="AG148" s="624"/>
      <c r="AH148" s="624"/>
      <c r="AI148" s="624"/>
      <c r="AJ148" s="624"/>
      <c r="AK148" s="1643">
        <v>11</v>
      </c>
    </row>
    <row s="1643" customFormat="1" customHeight="1" ht="11.549999999999999">
      <c r="A149" s="989"/>
      <c r="B149" s="989"/>
      <c r="C149" s="989"/>
      <c r="D149" s="989"/>
      <c r="E149" s="989"/>
      <c r="F149" s="1638"/>
      <c r="G149" s="1638"/>
      <c r="H149" s="353"/>
      <c r="N149" s="1368"/>
      <c r="P149" s="1368"/>
      <c r="Q149" s="1638"/>
      <c r="R149" s="1638"/>
      <c r="S149" s="1368"/>
      <c r="T149" s="1368"/>
      <c r="U149" s="1368"/>
      <c r="V149" s="1368"/>
      <c r="W149" s="1638"/>
      <c r="X149" s="1368"/>
      <c r="Y149" s="1368"/>
      <c r="Z149" s="546"/>
      <c r="AA149" s="1368"/>
      <c r="AB149" s="1368"/>
      <c r="AC149" s="1368"/>
      <c r="AD149" s="1368"/>
      <c r="AE149" s="1368"/>
      <c r="AF149" s="1634"/>
      <c r="AG149" s="624"/>
      <c r="AH149" s="624"/>
      <c r="AI149" s="624"/>
      <c r="AJ149" s="624"/>
      <c r="AK149" s="1643">
        <v>11</v>
      </c>
    </row>
    <row s="1643" customFormat="1" customHeight="1" ht="11.549999999999999">
      <c r="A150" s="989"/>
      <c r="B150" s="989"/>
      <c r="C150" s="989"/>
      <c r="D150" s="989"/>
      <c r="E150" s="989"/>
      <c r="F150" s="1638"/>
      <c r="G150" s="1638"/>
      <c r="H150" s="353"/>
      <c r="N150" s="1368"/>
      <c r="P150" s="1368"/>
      <c r="Q150" s="1638"/>
      <c r="R150" s="1638"/>
      <c r="S150" s="1368"/>
      <c r="T150" s="1368"/>
      <c r="U150" s="1368"/>
      <c r="V150" s="1368"/>
      <c r="W150" s="1638"/>
      <c r="X150" s="1368"/>
      <c r="Y150" s="1368"/>
      <c r="Z150" s="546"/>
      <c r="AA150" s="1368"/>
      <c r="AB150" s="1368"/>
      <c r="AC150" s="1368"/>
      <c r="AD150" s="1368"/>
      <c r="AE150" s="1368"/>
      <c r="AF150" s="1634"/>
      <c r="AG150" s="624"/>
      <c r="AH150" s="624"/>
      <c r="AI150" s="624"/>
      <c r="AJ150" s="624"/>
      <c r="AK150" s="1643">
        <v>11</v>
      </c>
    </row>
    <row s="1643" customFormat="1" customHeight="1" ht="11.549999999999999">
      <c r="A151" s="989"/>
      <c r="B151" s="989"/>
      <c r="C151" s="989"/>
      <c r="D151" s="989"/>
      <c r="E151" s="989"/>
      <c r="F151" s="1638"/>
      <c r="G151" s="1638"/>
      <c r="H151" s="353"/>
      <c r="N151" s="1368"/>
      <c r="P151" s="1368"/>
      <c r="Q151" s="1638"/>
      <c r="R151" s="1638"/>
      <c r="S151" s="1368"/>
      <c r="T151" s="1368"/>
      <c r="U151" s="1368"/>
      <c r="V151" s="1368"/>
      <c r="W151" s="1638"/>
      <c r="X151" s="1368"/>
      <c r="Y151" s="1368"/>
      <c r="Z151" s="546"/>
      <c r="AA151" s="1368"/>
      <c r="AB151" s="1368"/>
      <c r="AC151" s="1368"/>
      <c r="AD151" s="1368"/>
      <c r="AE151" s="1368"/>
      <c r="AF151" s="1634"/>
      <c r="AG151" s="624"/>
      <c r="AH151" s="624"/>
      <c r="AI151" s="624"/>
      <c r="AJ151" s="624"/>
      <c r="AK151" s="1643">
        <v>11</v>
      </c>
    </row>
    <row s="1643" customFormat="1" customHeight="1" ht="11.549999999999999">
      <c r="A152" s="989"/>
      <c r="B152" s="989"/>
      <c r="C152" s="989"/>
      <c r="D152" s="989"/>
      <c r="E152" s="989"/>
      <c r="F152" s="1638"/>
      <c r="G152" s="1638"/>
      <c r="H152" s="353"/>
      <c r="N152" s="1368"/>
      <c r="P152" s="1368"/>
      <c r="Q152" s="1638"/>
      <c r="R152" s="1638"/>
      <c r="S152" s="1368"/>
      <c r="T152" s="1368"/>
      <c r="U152" s="1368"/>
      <c r="V152" s="1368"/>
      <c r="W152" s="1638"/>
      <c r="X152" s="1368"/>
      <c r="Y152" s="1368"/>
      <c r="Z152" s="546"/>
      <c r="AA152" s="1368"/>
      <c r="AB152" s="1368"/>
      <c r="AC152" s="1368"/>
      <c r="AD152" s="1368"/>
      <c r="AE152" s="1368"/>
      <c r="AF152" s="1634"/>
      <c r="AG152" s="624"/>
      <c r="AH152" s="624"/>
      <c r="AI152" s="624"/>
      <c r="AJ152" s="624"/>
      <c r="AK152" s="1643">
        <v>11</v>
      </c>
    </row>
    <row s="1643" customFormat="1" customHeight="1" ht="11.549999999999999">
      <c r="A153" s="989"/>
      <c r="B153" s="989"/>
      <c r="C153" s="989"/>
      <c r="D153" s="989"/>
      <c r="E153" s="989"/>
      <c r="F153" s="1638"/>
      <c r="G153" s="1638"/>
      <c r="H153" s="353"/>
      <c r="N153" s="1368"/>
      <c r="P153" s="1368"/>
      <c r="Q153" s="1638"/>
      <c r="R153" s="1638"/>
      <c r="S153" s="1368"/>
      <c r="T153" s="1368"/>
      <c r="U153" s="1368"/>
      <c r="V153" s="1368"/>
      <c r="W153" s="1638"/>
      <c r="X153" s="1368"/>
      <c r="Y153" s="1368"/>
      <c r="Z153" s="546"/>
      <c r="AA153" s="1368"/>
      <c r="AB153" s="1368"/>
      <c r="AC153" s="1368"/>
      <c r="AD153" s="1368"/>
      <c r="AE153" s="1368"/>
      <c r="AF153" s="1634"/>
      <c r="AG153" s="624"/>
      <c r="AH153" s="624"/>
      <c r="AI153" s="624"/>
      <c r="AJ153" s="624"/>
      <c r="AK153" s="1643">
        <v>11</v>
      </c>
    </row>
    <row s="1643" customFormat="1" customHeight="1" ht="11.549999999999999">
      <c r="A154" s="989"/>
      <c r="B154" s="989"/>
      <c r="C154" s="989"/>
      <c r="D154" s="989"/>
      <c r="E154" s="989"/>
      <c r="F154" s="1638"/>
      <c r="G154" s="1638"/>
      <c r="H154" s="353"/>
      <c r="N154" s="1368"/>
      <c r="P154" s="1368"/>
      <c r="Q154" s="1638"/>
      <c r="R154" s="1638"/>
      <c r="S154" s="1368"/>
      <c r="T154" s="1368"/>
      <c r="U154" s="1368"/>
      <c r="V154" s="1368"/>
      <c r="W154" s="1638"/>
      <c r="X154" s="1368"/>
      <c r="Y154" s="1368"/>
      <c r="Z154" s="546"/>
      <c r="AA154" s="1368"/>
      <c r="AB154" s="1368"/>
      <c r="AC154" s="1368"/>
      <c r="AD154" s="1368"/>
      <c r="AE154" s="1368"/>
      <c r="AF154" s="1634"/>
      <c r="AG154" s="624"/>
      <c r="AH154" s="624"/>
      <c r="AI154" s="624"/>
      <c r="AJ154" s="624"/>
      <c r="AK154" s="1643">
        <v>11</v>
      </c>
    </row>
    <row s="1643" customFormat="1" customHeight="1" ht="11.549999999999999">
      <c r="A155" s="989"/>
      <c r="B155" s="989"/>
      <c r="C155" s="989"/>
      <c r="D155" s="989"/>
      <c r="E155" s="989"/>
      <c r="F155" s="1638"/>
      <c r="G155" s="1638"/>
      <c r="H155" s="353"/>
      <c r="N155" s="1368"/>
      <c r="P155" s="1368"/>
      <c r="Q155" s="1638"/>
      <c r="R155" s="1638"/>
      <c r="S155" s="1368"/>
      <c r="T155" s="1368"/>
      <c r="U155" s="1368"/>
      <c r="V155" s="1368"/>
      <c r="W155" s="1638"/>
      <c r="X155" s="1368"/>
      <c r="Y155" s="1368"/>
      <c r="Z155" s="546"/>
      <c r="AA155" s="1368"/>
      <c r="AB155" s="1368"/>
      <c r="AC155" s="1368"/>
      <c r="AD155" s="1368"/>
      <c r="AE155" s="1368"/>
      <c r="AF155" s="1634"/>
      <c r="AG155" s="624"/>
      <c r="AH155" s="624"/>
      <c r="AI155" s="624"/>
      <c r="AJ155" s="624"/>
      <c r="AK155" s="1643">
        <v>11</v>
      </c>
    </row>
    <row s="1643" customFormat="1" customHeight="1" ht="11.549999999999999">
      <c r="A156" s="989"/>
      <c r="B156" s="989"/>
      <c r="C156" s="989"/>
      <c r="D156" s="989"/>
      <c r="E156" s="989"/>
      <c r="F156" s="1638"/>
      <c r="G156" s="1638"/>
      <c r="H156" s="353"/>
      <c r="N156" s="1368"/>
      <c r="P156" s="1368"/>
      <c r="Q156" s="1638"/>
      <c r="R156" s="1638"/>
      <c r="S156" s="1368"/>
      <c r="T156" s="1368"/>
      <c r="U156" s="1368"/>
      <c r="V156" s="1368"/>
      <c r="W156" s="1638"/>
      <c r="X156" s="1368"/>
      <c r="Y156" s="1368"/>
      <c r="Z156" s="546"/>
      <c r="AA156" s="1368"/>
      <c r="AB156" s="1368"/>
      <c r="AC156" s="1368"/>
      <c r="AD156" s="1368"/>
      <c r="AE156" s="1368"/>
      <c r="AF156" s="1634"/>
      <c r="AG156" s="624"/>
      <c r="AH156" s="624"/>
      <c r="AI156" s="624"/>
      <c r="AJ156" s="624"/>
      <c r="AK156" s="1643">
        <v>11</v>
      </c>
    </row>
    <row s="1643" customFormat="1" customHeight="1" ht="11.549999999999999">
      <c r="A157" s="989"/>
      <c r="B157" s="989"/>
      <c r="C157" s="989"/>
      <c r="D157" s="989"/>
      <c r="E157" s="989"/>
      <c r="F157" s="1638"/>
      <c r="G157" s="1638"/>
      <c r="H157" s="353"/>
      <c r="N157" s="1368"/>
      <c r="P157" s="1368"/>
      <c r="Q157" s="1638"/>
      <c r="R157" s="1638"/>
      <c r="S157" s="1368"/>
      <c r="T157" s="1368"/>
      <c r="U157" s="1368"/>
      <c r="V157" s="1368"/>
      <c r="W157" s="1638"/>
      <c r="X157" s="1368"/>
      <c r="Y157" s="1368"/>
      <c r="Z157" s="546"/>
      <c r="AA157" s="1368"/>
      <c r="AB157" s="1368"/>
      <c r="AC157" s="1368"/>
      <c r="AD157" s="1368"/>
      <c r="AE157" s="1368"/>
      <c r="AF157" s="1634"/>
      <c r="AG157" s="624"/>
      <c r="AH157" s="624"/>
      <c r="AI157" s="624"/>
      <c r="AJ157" s="624"/>
      <c r="AK157" s="1643">
        <v>11</v>
      </c>
    </row>
    <row s="1643" customFormat="1" customHeight="1" ht="11.549999999999999">
      <c r="A158" s="989"/>
      <c r="B158" s="989"/>
      <c r="C158" s="989"/>
      <c r="D158" s="989"/>
      <c r="E158" s="989"/>
      <c r="F158" s="1638"/>
      <c r="G158" s="1638"/>
      <c r="H158" s="353"/>
      <c r="N158" s="1368"/>
      <c r="P158" s="1368"/>
      <c r="Q158" s="1638"/>
      <c r="R158" s="1638"/>
      <c r="S158" s="1368"/>
      <c r="T158" s="1368"/>
      <c r="U158" s="1368"/>
      <c r="V158" s="1368"/>
      <c r="W158" s="1638"/>
      <c r="X158" s="1368"/>
      <c r="Y158" s="1368"/>
      <c r="Z158" s="546"/>
      <c r="AA158" s="1368"/>
      <c r="AB158" s="1368"/>
      <c r="AC158" s="1368"/>
      <c r="AD158" s="1368"/>
      <c r="AE158" s="1368"/>
      <c r="AF158" s="1634"/>
      <c r="AG158" s="624"/>
      <c r="AH158" s="624"/>
      <c r="AI158" s="624"/>
      <c r="AJ158" s="624"/>
      <c r="AK158" s="1643">
        <v>11</v>
      </c>
    </row>
    <row s="1643" customFormat="1" customHeight="1" ht="11.549999999999999">
      <c r="A159" s="989"/>
      <c r="B159" s="989"/>
      <c r="C159" s="989"/>
      <c r="D159" s="989"/>
      <c r="E159" s="989"/>
      <c r="F159" s="1638"/>
      <c r="G159" s="1638"/>
      <c r="H159" s="353"/>
      <c r="N159" s="1368"/>
      <c r="P159" s="1368"/>
      <c r="Q159" s="1638"/>
      <c r="R159" s="1638"/>
      <c r="S159" s="1368"/>
      <c r="T159" s="1368"/>
      <c r="U159" s="1368"/>
      <c r="V159" s="1368"/>
      <c r="W159" s="1638"/>
      <c r="X159" s="1368"/>
      <c r="Y159" s="1368"/>
      <c r="Z159" s="546"/>
      <c r="AA159" s="1368"/>
      <c r="AB159" s="1368"/>
      <c r="AC159" s="1368"/>
      <c r="AD159" s="1368"/>
      <c r="AE159" s="1368"/>
      <c r="AF159" s="1634"/>
      <c r="AG159" s="624"/>
      <c r="AH159" s="624"/>
      <c r="AI159" s="624"/>
      <c r="AJ159" s="624"/>
      <c r="AK159" s="1643">
        <v>11</v>
      </c>
    </row>
    <row s="1643" customFormat="1" customHeight="1" ht="11.549999999999999">
      <c r="A160" s="989"/>
      <c r="B160" s="989"/>
      <c r="C160" s="989"/>
      <c r="D160" s="989"/>
      <c r="E160" s="989"/>
      <c r="F160" s="1638"/>
      <c r="G160" s="1638"/>
      <c r="H160" s="353"/>
      <c r="N160" s="1368"/>
      <c r="P160" s="1368"/>
      <c r="Q160" s="1638"/>
      <c r="R160" s="1638"/>
      <c r="S160" s="1368"/>
      <c r="T160" s="1368"/>
      <c r="U160" s="1368"/>
      <c r="V160" s="1368"/>
      <c r="W160" s="1638"/>
      <c r="X160" s="1368"/>
      <c r="Y160" s="1368"/>
      <c r="Z160" s="546"/>
      <c r="AA160" s="1368"/>
      <c r="AB160" s="1368"/>
      <c r="AC160" s="1368"/>
      <c r="AD160" s="1368"/>
      <c r="AE160" s="1368"/>
      <c r="AF160" s="1634"/>
      <c r="AG160" s="624"/>
      <c r="AH160" s="624"/>
      <c r="AI160" s="624"/>
      <c r="AJ160" s="624"/>
      <c r="AK160" s="1643">
        <v>11</v>
      </c>
    </row>
    <row s="1643" customFormat="1" customHeight="1" ht="11.549999999999999">
      <c r="A161" s="989"/>
      <c r="B161" s="989"/>
      <c r="C161" s="989"/>
      <c r="D161" s="989"/>
      <c r="E161" s="989"/>
      <c r="F161" s="1638"/>
      <c r="G161" s="1638"/>
      <c r="H161" s="353"/>
      <c r="N161" s="1368"/>
      <c r="P161" s="1368"/>
      <c r="Q161" s="1638"/>
      <c r="R161" s="1638"/>
      <c r="S161" s="1368"/>
      <c r="T161" s="1368"/>
      <c r="U161" s="1368"/>
      <c r="V161" s="1368"/>
      <c r="W161" s="1638"/>
      <c r="X161" s="1368"/>
      <c r="Y161" s="1368"/>
      <c r="Z161" s="546"/>
      <c r="AA161" s="1368"/>
      <c r="AB161" s="1368"/>
      <c r="AC161" s="1368"/>
      <c r="AD161" s="1368"/>
      <c r="AE161" s="1368"/>
      <c r="AF161" s="1634"/>
      <c r="AG161" s="624"/>
      <c r="AH161" s="624"/>
      <c r="AI161" s="624"/>
      <c r="AJ161" s="624"/>
      <c r="AK161" s="1643">
        <v>11</v>
      </c>
    </row>
    <row s="1643" customFormat="1" customHeight="1" ht="11.549999999999999">
      <c r="A162" s="989"/>
      <c r="B162" s="989"/>
      <c r="C162" s="989"/>
      <c r="D162" s="989"/>
      <c r="E162" s="989"/>
      <c r="F162" s="1638"/>
      <c r="G162" s="1638"/>
      <c r="H162" s="353"/>
      <c r="N162" s="1368"/>
      <c r="P162" s="1368"/>
      <c r="Q162" s="1638"/>
      <c r="R162" s="1638"/>
      <c r="S162" s="1368"/>
      <c r="T162" s="1368"/>
      <c r="U162" s="1368"/>
      <c r="V162" s="1368"/>
      <c r="W162" s="1638"/>
      <c r="X162" s="1368"/>
      <c r="Y162" s="1368"/>
      <c r="Z162" s="546"/>
      <c r="AA162" s="1368"/>
      <c r="AB162" s="1368"/>
      <c r="AC162" s="1368"/>
      <c r="AD162" s="1368"/>
      <c r="AE162" s="1368"/>
      <c r="AF162" s="1634"/>
      <c r="AG162" s="624"/>
      <c r="AH162" s="624"/>
      <c r="AI162" s="624"/>
      <c r="AJ162" s="624"/>
      <c r="AK162" s="1643">
        <v>11</v>
      </c>
    </row>
    <row s="1643" customFormat="1" customHeight="1" ht="11.549999999999999">
      <c r="A163" s="989"/>
      <c r="B163" s="989"/>
      <c r="C163" s="989"/>
      <c r="D163" s="989"/>
      <c r="E163" s="989"/>
      <c r="F163" s="1638"/>
      <c r="G163" s="1638"/>
      <c r="H163" s="353"/>
      <c r="N163" s="1368"/>
      <c r="P163" s="1368"/>
      <c r="Q163" s="1638"/>
      <c r="R163" s="1638"/>
      <c r="S163" s="1368"/>
      <c r="T163" s="1368"/>
      <c r="U163" s="1368"/>
      <c r="V163" s="1368"/>
      <c r="W163" s="1638"/>
      <c r="X163" s="1368"/>
      <c r="Y163" s="1368"/>
      <c r="Z163" s="546"/>
      <c r="AA163" s="1368"/>
      <c r="AB163" s="1368"/>
      <c r="AC163" s="1368"/>
      <c r="AD163" s="1368"/>
      <c r="AE163" s="1368"/>
      <c r="AF163" s="1634"/>
      <c r="AG163" s="624"/>
      <c r="AH163" s="624"/>
      <c r="AI163" s="624"/>
      <c r="AJ163" s="624"/>
      <c r="AK163" s="1643">
        <v>11</v>
      </c>
    </row>
    <row s="1643" customFormat="1" customHeight="1" ht="11.549999999999999">
      <c r="A164" s="989"/>
      <c r="B164" s="989"/>
      <c r="C164" s="989"/>
      <c r="D164" s="989"/>
      <c r="E164" s="989"/>
      <c r="F164" s="1638"/>
      <c r="G164" s="1638"/>
      <c r="H164" s="353"/>
      <c r="N164" s="1368"/>
      <c r="P164" s="1368"/>
      <c r="Q164" s="1638"/>
      <c r="R164" s="1638"/>
      <c r="S164" s="1368"/>
      <c r="T164" s="1368"/>
      <c r="U164" s="1368"/>
      <c r="V164" s="1368"/>
      <c r="W164" s="1638"/>
      <c r="X164" s="1368"/>
      <c r="Y164" s="1368"/>
      <c r="Z164" s="546"/>
      <c r="AA164" s="1368"/>
      <c r="AB164" s="1368"/>
      <c r="AC164" s="1368"/>
      <c r="AD164" s="1368"/>
      <c r="AE164" s="1368"/>
      <c r="AF164" s="1634"/>
      <c r="AG164" s="624"/>
      <c r="AH164" s="624"/>
      <c r="AI164" s="624"/>
      <c r="AJ164" s="624"/>
      <c r="AK164" s="1643">
        <v>11</v>
      </c>
    </row>
    <row s="1643" customFormat="1" customHeight="1" ht="11.549999999999999">
      <c r="A165" s="989"/>
      <c r="B165" s="989"/>
      <c r="C165" s="989"/>
      <c r="D165" s="989"/>
      <c r="E165" s="989"/>
      <c r="F165" s="1638"/>
      <c r="G165" s="1638"/>
      <c r="H165" s="353"/>
      <c r="N165" s="1368"/>
      <c r="P165" s="1368"/>
      <c r="Q165" s="1638"/>
      <c r="R165" s="1638"/>
      <c r="S165" s="1368"/>
      <c r="T165" s="1368"/>
      <c r="U165" s="1368"/>
      <c r="V165" s="1368"/>
      <c r="W165" s="1638"/>
      <c r="X165" s="1368"/>
      <c r="Y165" s="1368"/>
      <c r="Z165" s="546"/>
      <c r="AA165" s="1368"/>
      <c r="AB165" s="1368"/>
      <c r="AC165" s="1368"/>
      <c r="AD165" s="1368"/>
      <c r="AE165" s="1368"/>
      <c r="AF165" s="1634"/>
      <c r="AG165" s="624"/>
      <c r="AH165" s="624"/>
      <c r="AI165" s="624"/>
      <c r="AJ165" s="624"/>
      <c r="AK165" s="1643">
        <v>11</v>
      </c>
    </row>
    <row s="1643" customFormat="1" customHeight="1" ht="11.549999999999999">
      <c r="A166" s="989"/>
      <c r="B166" s="989"/>
      <c r="C166" s="989"/>
      <c r="D166" s="989"/>
      <c r="E166" s="989"/>
      <c r="F166" s="1638"/>
      <c r="G166" s="1638"/>
      <c r="H166" s="353"/>
      <c r="N166" s="1368"/>
      <c r="P166" s="1368"/>
      <c r="Q166" s="1638"/>
      <c r="R166" s="1638"/>
      <c r="S166" s="1368"/>
      <c r="T166" s="1368"/>
      <c r="U166" s="1368"/>
      <c r="V166" s="1368"/>
      <c r="W166" s="1638"/>
      <c r="X166" s="1368"/>
      <c r="Y166" s="1368"/>
      <c r="Z166" s="546"/>
      <c r="AA166" s="1368"/>
      <c r="AB166" s="1368"/>
      <c r="AC166" s="1368"/>
      <c r="AD166" s="1368"/>
      <c r="AE166" s="1368"/>
      <c r="AF166" s="1634"/>
      <c r="AG166" s="624"/>
      <c r="AH166" s="624"/>
      <c r="AI166" s="624"/>
      <c r="AJ166" s="624"/>
      <c r="AK166" s="1643">
        <v>11</v>
      </c>
    </row>
    <row s="1643" customFormat="1" customHeight="1" ht="11.549999999999999">
      <c r="A167" s="989"/>
      <c r="B167" s="989"/>
      <c r="C167" s="989"/>
      <c r="D167" s="989"/>
      <c r="E167" s="989"/>
      <c r="F167" s="1638"/>
      <c r="G167" s="1638"/>
      <c r="H167" s="353"/>
      <c r="N167" s="1368"/>
      <c r="P167" s="1368"/>
      <c r="Q167" s="1638"/>
      <c r="R167" s="1638"/>
      <c r="S167" s="1368"/>
      <c r="T167" s="1368"/>
      <c r="U167" s="1368"/>
      <c r="V167" s="1368"/>
      <c r="W167" s="1638"/>
      <c r="X167" s="1368"/>
      <c r="Y167" s="1368"/>
      <c r="Z167" s="546"/>
      <c r="AA167" s="1368"/>
      <c r="AB167" s="1368"/>
      <c r="AC167" s="1368"/>
      <c r="AD167" s="1368"/>
      <c r="AE167" s="1368"/>
      <c r="AF167" s="1634"/>
      <c r="AG167" s="624"/>
      <c r="AH167" s="624"/>
      <c r="AI167" s="624"/>
      <c r="AJ167" s="624"/>
      <c r="AK167" s="1643">
        <v>11</v>
      </c>
    </row>
    <row s="1643" customFormat="1" customHeight="1" ht="11.549999999999999">
      <c r="A168" s="989"/>
      <c r="B168" s="989"/>
      <c r="C168" s="989"/>
      <c r="D168" s="989"/>
      <c r="E168" s="989"/>
      <c r="F168" s="1638"/>
      <c r="G168" s="1638"/>
      <c r="H168" s="353"/>
      <c r="N168" s="1368"/>
      <c r="P168" s="1368"/>
      <c r="Q168" s="1638"/>
      <c r="R168" s="1638"/>
      <c r="S168" s="1368"/>
      <c r="T168" s="1368"/>
      <c r="U168" s="1368"/>
      <c r="V168" s="1368"/>
      <c r="W168" s="1638"/>
      <c r="X168" s="1368"/>
      <c r="Y168" s="1368"/>
      <c r="Z168" s="546"/>
      <c r="AA168" s="1368"/>
      <c r="AB168" s="1368"/>
      <c r="AC168" s="1368"/>
      <c r="AD168" s="1368"/>
      <c r="AE168" s="1368"/>
      <c r="AF168" s="1634"/>
      <c r="AG168" s="624"/>
      <c r="AH168" s="624"/>
      <c r="AI168" s="624"/>
      <c r="AJ168" s="624"/>
      <c r="AK168" s="1643">
        <v>11</v>
      </c>
    </row>
    <row s="1643" customFormat="1" customHeight="1" ht="11.549999999999999">
      <c r="A169" s="989"/>
      <c r="B169" s="989"/>
      <c r="C169" s="989"/>
      <c r="D169" s="989"/>
      <c r="E169" s="989"/>
      <c r="F169" s="1638"/>
      <c r="G169" s="1638"/>
      <c r="H169" s="353"/>
      <c r="N169" s="1368"/>
      <c r="P169" s="1368"/>
      <c r="Q169" s="1638"/>
      <c r="R169" s="1638"/>
      <c r="S169" s="1368"/>
      <c r="T169" s="1368"/>
      <c r="U169" s="1368"/>
      <c r="V169" s="1368"/>
      <c r="W169" s="1638"/>
      <c r="X169" s="1368"/>
      <c r="Y169" s="1368"/>
      <c r="Z169" s="546"/>
      <c r="AA169" s="1368"/>
      <c r="AB169" s="1368"/>
      <c r="AC169" s="1368"/>
      <c r="AD169" s="1368"/>
      <c r="AE169" s="1368"/>
      <c r="AF169" s="1634"/>
      <c r="AG169" s="624"/>
      <c r="AH169" s="624"/>
      <c r="AI169" s="624"/>
      <c r="AJ169" s="624"/>
      <c r="AK169" s="1643">
        <v>11</v>
      </c>
    </row>
    <row s="1643" customFormat="1" customHeight="1" ht="11.549999999999999">
      <c r="A170" s="989"/>
      <c r="B170" s="989"/>
      <c r="C170" s="989"/>
      <c r="D170" s="989"/>
      <c r="E170" s="989"/>
      <c r="F170" s="1638"/>
      <c r="G170" s="1638"/>
      <c r="H170" s="353"/>
      <c r="N170" s="1368"/>
      <c r="P170" s="1368"/>
      <c r="Q170" s="1638"/>
      <c r="R170" s="1638"/>
      <c r="S170" s="1368"/>
      <c r="T170" s="1368"/>
      <c r="U170" s="1368"/>
      <c r="V170" s="1368"/>
      <c r="W170" s="1638"/>
      <c r="X170" s="1368"/>
      <c r="Y170" s="1368"/>
      <c r="Z170" s="546"/>
      <c r="AA170" s="1368"/>
      <c r="AB170" s="1368"/>
      <c r="AC170" s="1368"/>
      <c r="AD170" s="1368"/>
      <c r="AE170" s="1368"/>
      <c r="AF170" s="1634"/>
      <c r="AG170" s="624"/>
      <c r="AH170" s="624"/>
      <c r="AI170" s="624"/>
      <c r="AJ170" s="624"/>
      <c r="AK170" s="1643">
        <v>11</v>
      </c>
    </row>
    <row s="1643" customFormat="1" customHeight="1" ht="11.549999999999999">
      <c r="A171" s="989"/>
      <c r="B171" s="989"/>
      <c r="C171" s="989"/>
      <c r="D171" s="989"/>
      <c r="E171" s="989"/>
      <c r="F171" s="1638"/>
      <c r="G171" s="1638"/>
      <c r="H171" s="353"/>
      <c r="N171" s="1368"/>
      <c r="P171" s="1368"/>
      <c r="Q171" s="1638"/>
      <c r="R171" s="1638"/>
      <c r="S171" s="1368"/>
      <c r="T171" s="1368"/>
      <c r="U171" s="1368"/>
      <c r="V171" s="1368"/>
      <c r="W171" s="1638"/>
      <c r="X171" s="1368"/>
      <c r="Y171" s="1368"/>
      <c r="Z171" s="546"/>
      <c r="AA171" s="1368"/>
      <c r="AB171" s="1368"/>
      <c r="AC171" s="1368"/>
      <c r="AD171" s="1368"/>
      <c r="AE171" s="1368"/>
      <c r="AF171" s="1634"/>
      <c r="AG171" s="624"/>
      <c r="AH171" s="624"/>
      <c r="AI171" s="624"/>
      <c r="AJ171" s="624"/>
      <c r="AK171" s="1643">
        <v>11</v>
      </c>
    </row>
    <row s="1643" customFormat="1" customHeight="1" ht="11.549999999999999">
      <c r="A172" s="989"/>
      <c r="B172" s="989"/>
      <c r="C172" s="989"/>
      <c r="D172" s="989"/>
      <c r="E172" s="989"/>
      <c r="F172" s="1638"/>
      <c r="G172" s="1638"/>
      <c r="H172" s="353"/>
      <c r="N172" s="1368"/>
      <c r="P172" s="1368"/>
      <c r="Q172" s="1638"/>
      <c r="R172" s="1638"/>
      <c r="S172" s="1368"/>
      <c r="T172" s="1368"/>
      <c r="U172" s="1368"/>
      <c r="V172" s="1368"/>
      <c r="W172" s="1638"/>
      <c r="X172" s="1368"/>
      <c r="Y172" s="1368"/>
      <c r="Z172" s="546"/>
      <c r="AA172" s="1368"/>
      <c r="AB172" s="1368"/>
      <c r="AC172" s="1368"/>
      <c r="AD172" s="1368"/>
      <c r="AE172" s="1368"/>
      <c r="AF172" s="1634"/>
      <c r="AG172" s="624"/>
      <c r="AH172" s="624"/>
      <c r="AI172" s="624"/>
      <c r="AJ172" s="624"/>
      <c r="AK172" s="1643">
        <v>11</v>
      </c>
    </row>
    <row s="1643" customFormat="1" customHeight="1" ht="11.549999999999999">
      <c r="A173" s="989"/>
      <c r="B173" s="989"/>
      <c r="C173" s="989"/>
      <c r="D173" s="989"/>
      <c r="E173" s="989"/>
      <c r="F173" s="1638"/>
      <c r="G173" s="1638"/>
      <c r="H173" s="353"/>
      <c r="N173" s="1368"/>
      <c r="P173" s="1368"/>
      <c r="Q173" s="1638"/>
      <c r="R173" s="1638"/>
      <c r="S173" s="1368"/>
      <c r="T173" s="1368"/>
      <c r="U173" s="1368"/>
      <c r="V173" s="1368"/>
      <c r="W173" s="1638"/>
      <c r="X173" s="1368"/>
      <c r="Y173" s="1368"/>
      <c r="Z173" s="546"/>
      <c r="AA173" s="1368"/>
      <c r="AB173" s="1368"/>
      <c r="AC173" s="1368"/>
      <c r="AD173" s="1368"/>
      <c r="AE173" s="1368"/>
      <c r="AF173" s="1634"/>
      <c r="AG173" s="624"/>
      <c r="AH173" s="624"/>
      <c r="AI173" s="624"/>
      <c r="AJ173" s="624"/>
      <c r="AK173" s="1643">
        <v>11</v>
      </c>
    </row>
    <row s="1643" customFormat="1" customHeight="1" ht="11.549999999999999">
      <c r="A174" s="989"/>
      <c r="B174" s="989"/>
      <c r="C174" s="989"/>
      <c r="D174" s="989"/>
      <c r="E174" s="989"/>
      <c r="F174" s="1638"/>
      <c r="G174" s="1638"/>
      <c r="H174" s="353"/>
      <c r="N174" s="1368"/>
      <c r="P174" s="1368"/>
      <c r="Q174" s="1638"/>
      <c r="R174" s="1638"/>
      <c r="S174" s="1368"/>
      <c r="T174" s="1368"/>
      <c r="U174" s="1368"/>
      <c r="V174" s="1368"/>
      <c r="W174" s="1638"/>
      <c r="X174" s="1368"/>
      <c r="Y174" s="1368"/>
      <c r="Z174" s="546"/>
      <c r="AA174" s="1368"/>
      <c r="AB174" s="1368"/>
      <c r="AC174" s="1368"/>
      <c r="AD174" s="1368"/>
      <c r="AE174" s="1368"/>
      <c r="AF174" s="1634"/>
      <c r="AG174" s="624"/>
      <c r="AH174" s="624"/>
      <c r="AI174" s="624"/>
      <c r="AJ174" s="624"/>
      <c r="AK174" s="1643">
        <v>11</v>
      </c>
    </row>
    <row s="1643" customFormat="1" customHeight="1" ht="11.549999999999999">
      <c r="A175" s="989"/>
      <c r="B175" s="989"/>
      <c r="C175" s="989"/>
      <c r="D175" s="989"/>
      <c r="E175" s="989"/>
      <c r="F175" s="1638"/>
      <c r="G175" s="1638"/>
      <c r="H175" s="353"/>
      <c r="N175" s="1368"/>
      <c r="P175" s="1368"/>
      <c r="Q175" s="1638"/>
      <c r="R175" s="1638"/>
      <c r="S175" s="1368"/>
      <c r="T175" s="1368"/>
      <c r="U175" s="1368"/>
      <c r="V175" s="1368"/>
      <c r="W175" s="1638"/>
      <c r="X175" s="1368"/>
      <c r="Y175" s="1368"/>
      <c r="Z175" s="546"/>
      <c r="AA175" s="1368"/>
      <c r="AB175" s="1368"/>
      <c r="AC175" s="1368"/>
      <c r="AD175" s="1368"/>
      <c r="AE175" s="1368"/>
      <c r="AF175" s="1634"/>
      <c r="AG175" s="624"/>
      <c r="AH175" s="624"/>
      <c r="AI175" s="624"/>
      <c r="AJ175" s="624"/>
      <c r="AK175" s="1643">
        <v>11</v>
      </c>
    </row>
    <row s="1643" customFormat="1" customHeight="1" ht="11.549999999999999">
      <c r="A176" s="989"/>
      <c r="B176" s="989"/>
      <c r="C176" s="989"/>
      <c r="D176" s="989"/>
      <c r="E176" s="989"/>
      <c r="F176" s="1638"/>
      <c r="G176" s="1638"/>
      <c r="H176" s="353"/>
      <c r="N176" s="1368"/>
      <c r="P176" s="1368"/>
      <c r="Q176" s="1638"/>
      <c r="R176" s="1638"/>
      <c r="S176" s="1368"/>
      <c r="T176" s="1368"/>
      <c r="U176" s="1368"/>
      <c r="V176" s="1368"/>
      <c r="W176" s="1638"/>
      <c r="X176" s="1368"/>
      <c r="Y176" s="1368"/>
      <c r="Z176" s="546"/>
      <c r="AA176" s="1368"/>
      <c r="AB176" s="1368"/>
      <c r="AC176" s="1368"/>
      <c r="AD176" s="1368"/>
      <c r="AE176" s="1368"/>
      <c r="AF176" s="1634"/>
      <c r="AG176" s="624"/>
      <c r="AH176" s="624"/>
      <c r="AI176" s="624"/>
      <c r="AJ176" s="624"/>
      <c r="AK176" s="1643">
        <v>11</v>
      </c>
    </row>
    <row s="1643" customFormat="1" customHeight="1" ht="11.549999999999999">
      <c r="A177" s="989"/>
      <c r="B177" s="989"/>
      <c r="C177" s="989"/>
      <c r="D177" s="989"/>
      <c r="E177" s="989"/>
      <c r="F177" s="1638"/>
      <c r="G177" s="1638"/>
      <c r="H177" s="353"/>
      <c r="N177" s="1368"/>
      <c r="P177" s="1368"/>
      <c r="Q177" s="1638"/>
      <c r="R177" s="1638"/>
      <c r="S177" s="1368"/>
      <c r="T177" s="1368"/>
      <c r="U177" s="1368"/>
      <c r="V177" s="1368"/>
      <c r="W177" s="1638"/>
      <c r="X177" s="1368"/>
      <c r="Y177" s="1368"/>
      <c r="Z177" s="546"/>
      <c r="AA177" s="1368"/>
      <c r="AB177" s="1368"/>
      <c r="AC177" s="1368"/>
      <c r="AD177" s="1368"/>
      <c r="AE177" s="1368"/>
      <c r="AF177" s="1634"/>
      <c r="AG177" s="624"/>
      <c r="AH177" s="624"/>
      <c r="AI177" s="624"/>
      <c r="AJ177" s="624"/>
      <c r="AK177" s="1643">
        <v>11</v>
      </c>
    </row>
    <row s="1643" customFormat="1" customHeight="1" ht="11.549999999999999">
      <c r="A178" s="989"/>
      <c r="B178" s="989"/>
      <c r="C178" s="989"/>
      <c r="D178" s="989"/>
      <c r="E178" s="989"/>
      <c r="F178" s="1638"/>
      <c r="G178" s="1638"/>
      <c r="H178" s="353"/>
      <c r="N178" s="1368"/>
      <c r="P178" s="1368"/>
      <c r="Q178" s="1638"/>
      <c r="R178" s="1638"/>
      <c r="S178" s="1368"/>
      <c r="T178" s="1368"/>
      <c r="U178" s="1368"/>
      <c r="V178" s="1368"/>
      <c r="W178" s="1638"/>
      <c r="X178" s="1368"/>
      <c r="Y178" s="1368"/>
      <c r="Z178" s="546"/>
      <c r="AA178" s="1368"/>
      <c r="AB178" s="1368"/>
      <c r="AC178" s="1368"/>
      <c r="AD178" s="1368"/>
      <c r="AE178" s="1368"/>
      <c r="AF178" s="1634"/>
      <c r="AG178" s="624"/>
      <c r="AH178" s="624"/>
      <c r="AI178" s="624"/>
      <c r="AJ178" s="624"/>
      <c r="AK178" s="1643">
        <v>11</v>
      </c>
    </row>
    <row s="1643" customFormat="1" customHeight="1" ht="11.549999999999999">
      <c r="A179" s="989"/>
      <c r="B179" s="989"/>
      <c r="C179" s="989"/>
      <c r="D179" s="989"/>
      <c r="E179" s="989"/>
      <c r="F179" s="1638"/>
      <c r="G179" s="1638"/>
      <c r="H179" s="353"/>
      <c r="N179" s="1368"/>
      <c r="P179" s="1368"/>
      <c r="Q179" s="1638"/>
      <c r="R179" s="1638"/>
      <c r="S179" s="1368"/>
      <c r="T179" s="1368"/>
      <c r="U179" s="1368"/>
      <c r="V179" s="1368"/>
      <c r="W179" s="1638"/>
      <c r="X179" s="1368"/>
      <c r="Y179" s="1368"/>
      <c r="Z179" s="546"/>
      <c r="AA179" s="1368"/>
      <c r="AB179" s="1368"/>
      <c r="AC179" s="1368"/>
      <c r="AD179" s="1368"/>
      <c r="AE179" s="1368"/>
      <c r="AF179" s="1634"/>
      <c r="AG179" s="624"/>
      <c r="AH179" s="624"/>
      <c r="AI179" s="624"/>
      <c r="AJ179" s="624"/>
      <c r="AK179" s="1643">
        <v>11</v>
      </c>
    </row>
    <row s="1643" customFormat="1" customHeight="1" ht="11.549999999999999">
      <c r="A180" s="989"/>
      <c r="B180" s="989"/>
      <c r="C180" s="989"/>
      <c r="D180" s="989"/>
      <c r="E180" s="989"/>
      <c r="F180" s="1638"/>
      <c r="G180" s="1638"/>
      <c r="H180" s="353"/>
      <c r="N180" s="1368"/>
      <c r="P180" s="1368"/>
      <c r="Q180" s="1638"/>
      <c r="R180" s="1638"/>
      <c r="S180" s="1368"/>
      <c r="T180" s="1368"/>
      <c r="U180" s="1368"/>
      <c r="V180" s="1368"/>
      <c r="W180" s="1638"/>
      <c r="X180" s="1368"/>
      <c r="Y180" s="1368"/>
      <c r="Z180" s="546"/>
      <c r="AA180" s="1368"/>
      <c r="AB180" s="1368"/>
      <c r="AC180" s="1368"/>
      <c r="AD180" s="1368"/>
      <c r="AE180" s="1368"/>
      <c r="AF180" s="1634"/>
      <c r="AG180" s="624"/>
      <c r="AH180" s="624"/>
      <c r="AI180" s="624"/>
      <c r="AJ180" s="624"/>
      <c r="AK180" s="1643">
        <v>11</v>
      </c>
    </row>
    <row s="1643" customFormat="1" customHeight="1" ht="11.549999999999999">
      <c r="A181" s="989"/>
      <c r="B181" s="989"/>
      <c r="C181" s="989"/>
      <c r="D181" s="989"/>
      <c r="E181" s="989"/>
      <c r="F181" s="1638"/>
      <c r="G181" s="1638"/>
      <c r="H181" s="353"/>
      <c r="N181" s="1368"/>
      <c r="P181" s="1368"/>
      <c r="Q181" s="1638"/>
      <c r="R181" s="1638"/>
      <c r="S181" s="1368"/>
      <c r="T181" s="1368"/>
      <c r="U181" s="1368"/>
      <c r="V181" s="1368"/>
      <c r="W181" s="1638"/>
      <c r="X181" s="1368"/>
      <c r="Y181" s="1368"/>
      <c r="Z181" s="546"/>
      <c r="AA181" s="1368"/>
      <c r="AB181" s="1368"/>
      <c r="AC181" s="1368"/>
      <c r="AD181" s="1368"/>
      <c r="AE181" s="1368"/>
      <c r="AF181" s="1634"/>
      <c r="AG181" s="624"/>
      <c r="AH181" s="624"/>
      <c r="AI181" s="624"/>
      <c r="AJ181" s="624"/>
      <c r="AK181" s="1643">
        <v>11</v>
      </c>
    </row>
    <row s="1643" customFormat="1" customHeight="1" ht="11.549999999999999">
      <c r="A182" s="989"/>
      <c r="B182" s="989"/>
      <c r="C182" s="989"/>
      <c r="D182" s="989"/>
      <c r="E182" s="989"/>
      <c r="F182" s="1638"/>
      <c r="G182" s="1638"/>
      <c r="H182" s="353"/>
      <c r="N182" s="1368"/>
      <c r="P182" s="1368"/>
      <c r="Q182" s="1638"/>
      <c r="R182" s="1638"/>
      <c r="S182" s="1368"/>
      <c r="T182" s="1368"/>
      <c r="U182" s="1368"/>
      <c r="V182" s="1368"/>
      <c r="W182" s="1638"/>
      <c r="X182" s="1368"/>
      <c r="Y182" s="1368"/>
      <c r="Z182" s="546"/>
      <c r="AA182" s="1368"/>
      <c r="AB182" s="1368"/>
      <c r="AC182" s="1368"/>
      <c r="AD182" s="1368"/>
      <c r="AE182" s="1368"/>
      <c r="AF182" s="1634"/>
      <c r="AG182" s="624"/>
      <c r="AH182" s="624"/>
      <c r="AI182" s="624"/>
      <c r="AJ182" s="624"/>
      <c r="AK182" s="1643">
        <v>11</v>
      </c>
    </row>
    <row s="1643" customFormat="1" customHeight="1" ht="11.549999999999999">
      <c r="A183" s="989"/>
      <c r="B183" s="989"/>
      <c r="C183" s="989"/>
      <c r="D183" s="989"/>
      <c r="E183" s="989"/>
      <c r="F183" s="1638"/>
      <c r="G183" s="1638"/>
      <c r="H183" s="353"/>
      <c r="N183" s="1368"/>
      <c r="P183" s="1368"/>
      <c r="Q183" s="1638"/>
      <c r="R183" s="1638"/>
      <c r="S183" s="1368"/>
      <c r="T183" s="1368"/>
      <c r="U183" s="1368"/>
      <c r="V183" s="1368"/>
      <c r="W183" s="1638"/>
      <c r="X183" s="1368"/>
      <c r="Y183" s="1368"/>
      <c r="Z183" s="546"/>
      <c r="AA183" s="1368"/>
      <c r="AB183" s="1368"/>
      <c r="AC183" s="1368"/>
      <c r="AD183" s="1368"/>
      <c r="AE183" s="1368"/>
      <c r="AF183" s="1634"/>
      <c r="AG183" s="624"/>
      <c r="AH183" s="624"/>
      <c r="AI183" s="624"/>
      <c r="AJ183" s="624"/>
      <c r="AK183" s="1643">
        <v>11</v>
      </c>
    </row>
    <row s="1643" customFormat="1" customHeight="1" ht="11.549999999999999">
      <c r="A184" s="989"/>
      <c r="B184" s="989"/>
      <c r="C184" s="989"/>
      <c r="D184" s="989"/>
      <c r="E184" s="989"/>
      <c r="F184" s="1638"/>
      <c r="G184" s="1638"/>
      <c r="H184" s="353"/>
      <c r="N184" s="1368"/>
      <c r="P184" s="1368"/>
      <c r="Q184" s="1638"/>
      <c r="R184" s="1638"/>
      <c r="S184" s="1368"/>
      <c r="T184" s="1368"/>
      <c r="U184" s="1368"/>
      <c r="V184" s="1368"/>
      <c r="W184" s="1638"/>
      <c r="X184" s="1368"/>
      <c r="Y184" s="1368"/>
      <c r="Z184" s="546"/>
      <c r="AA184" s="1368"/>
      <c r="AB184" s="1368"/>
      <c r="AC184" s="1368"/>
      <c r="AD184" s="1368"/>
      <c r="AE184" s="1368"/>
      <c r="AF184" s="1634"/>
      <c r="AG184" s="624"/>
      <c r="AH184" s="624"/>
      <c r="AI184" s="624"/>
      <c r="AJ184" s="624"/>
      <c r="AK184" s="1643">
        <v>11</v>
      </c>
    </row>
    <row s="1643" customFormat="1" customHeight="1" ht="11.549999999999999">
      <c r="A185" s="989"/>
      <c r="B185" s="989"/>
      <c r="C185" s="989"/>
      <c r="D185" s="989"/>
      <c r="E185" s="989"/>
      <c r="F185" s="1638"/>
      <c r="G185" s="1638"/>
      <c r="H185" s="353"/>
      <c r="N185" s="1368"/>
      <c r="P185" s="1368"/>
      <c r="Q185" s="1638"/>
      <c r="R185" s="1638"/>
      <c r="S185" s="1368"/>
      <c r="T185" s="1368"/>
      <c r="U185" s="1368"/>
      <c r="V185" s="1368"/>
      <c r="W185" s="1638"/>
      <c r="X185" s="1368"/>
      <c r="Y185" s="1368"/>
      <c r="Z185" s="546"/>
      <c r="AA185" s="1368"/>
      <c r="AB185" s="1368"/>
      <c r="AC185" s="1368"/>
      <c r="AD185" s="1368"/>
      <c r="AE185" s="1368"/>
      <c r="AF185" s="1634"/>
      <c r="AG185" s="624"/>
      <c r="AH185" s="624"/>
      <c r="AI185" s="624"/>
      <c r="AJ185" s="624"/>
      <c r="AK185" s="1643">
        <v>11</v>
      </c>
    </row>
    <row s="1643" customFormat="1" customHeight="1" ht="11.549999999999999">
      <c r="A186" s="989"/>
      <c r="B186" s="989"/>
      <c r="C186" s="989"/>
      <c r="D186" s="989"/>
      <c r="E186" s="989"/>
      <c r="F186" s="1638"/>
      <c r="G186" s="1638"/>
      <c r="H186" s="353"/>
      <c r="N186" s="1368"/>
      <c r="P186" s="1368"/>
      <c r="Q186" s="1638"/>
      <c r="R186" s="1638"/>
      <c r="S186" s="1368"/>
      <c r="T186" s="1368"/>
      <c r="U186" s="1368"/>
      <c r="V186" s="1368"/>
      <c r="W186" s="1638"/>
      <c r="X186" s="1368"/>
      <c r="Y186" s="1368"/>
      <c r="Z186" s="546"/>
      <c r="AA186" s="1368"/>
      <c r="AB186" s="1368"/>
      <c r="AC186" s="1368"/>
      <c r="AD186" s="1368"/>
      <c r="AE186" s="1368"/>
      <c r="AF186" s="1634"/>
      <c r="AG186" s="624"/>
      <c r="AH186" s="624"/>
      <c r="AI186" s="624"/>
      <c r="AJ186" s="624"/>
      <c r="AK186" s="1643">
        <v>11</v>
      </c>
    </row>
    <row s="1643" customFormat="1" customHeight="1" ht="11.549999999999999">
      <c r="A187" s="989"/>
      <c r="B187" s="989"/>
      <c r="C187" s="989"/>
      <c r="D187" s="989"/>
      <c r="E187" s="989"/>
      <c r="F187" s="1638"/>
      <c r="G187" s="1638"/>
      <c r="H187" s="353"/>
      <c r="N187" s="1368"/>
      <c r="P187" s="1368"/>
      <c r="Q187" s="1638"/>
      <c r="R187" s="1638"/>
      <c r="S187" s="1368"/>
      <c r="T187" s="1368"/>
      <c r="U187" s="1368"/>
      <c r="V187" s="1368"/>
      <c r="W187" s="1638"/>
      <c r="X187" s="1368"/>
      <c r="Y187" s="1368"/>
      <c r="Z187" s="546"/>
      <c r="AA187" s="1368"/>
      <c r="AB187" s="1368"/>
      <c r="AC187" s="1368"/>
      <c r="AD187" s="1368"/>
      <c r="AE187" s="1368"/>
      <c r="AF187" s="1634"/>
      <c r="AG187" s="624"/>
      <c r="AH187" s="624"/>
      <c r="AI187" s="624"/>
      <c r="AJ187" s="624"/>
      <c r="AK187" s="1643">
        <v>11</v>
      </c>
    </row>
    <row s="1643" customFormat="1" customHeight="1" ht="11.549999999999999">
      <c r="A188" s="989"/>
      <c r="B188" s="989"/>
      <c r="C188" s="989"/>
      <c r="D188" s="989"/>
      <c r="E188" s="989"/>
      <c r="F188" s="1638"/>
      <c r="G188" s="1638"/>
      <c r="H188" s="353"/>
      <c r="N188" s="1368"/>
      <c r="P188" s="1368"/>
      <c r="Q188" s="1638"/>
      <c r="R188" s="1638"/>
      <c r="S188" s="1368"/>
      <c r="T188" s="1368"/>
      <c r="U188" s="1368"/>
      <c r="V188" s="1368"/>
      <c r="W188" s="1638"/>
      <c r="X188" s="1368"/>
      <c r="Y188" s="1368"/>
      <c r="Z188" s="546"/>
      <c r="AA188" s="1368"/>
      <c r="AB188" s="1368"/>
      <c r="AC188" s="1368"/>
      <c r="AD188" s="1368"/>
      <c r="AE188" s="1368"/>
      <c r="AF188" s="1634"/>
      <c r="AG188" s="624"/>
      <c r="AH188" s="624"/>
      <c r="AI188" s="624"/>
      <c r="AJ188" s="624"/>
      <c r="AK188" s="1643">
        <v>11</v>
      </c>
    </row>
    <row s="1643" customFormat="1" customHeight="1" ht="11.549999999999999">
      <c r="A189" s="989"/>
      <c r="B189" s="989"/>
      <c r="C189" s="989"/>
      <c r="D189" s="989"/>
      <c r="E189" s="989"/>
      <c r="F189" s="1638"/>
      <c r="G189" s="1638"/>
      <c r="H189" s="353"/>
      <c r="N189" s="1368"/>
      <c r="P189" s="1368"/>
      <c r="Q189" s="1638"/>
      <c r="R189" s="1638"/>
      <c r="S189" s="1368"/>
      <c r="T189" s="1368"/>
      <c r="U189" s="1368"/>
      <c r="V189" s="1368"/>
      <c r="W189" s="1638"/>
      <c r="X189" s="1368"/>
      <c r="Y189" s="1368"/>
      <c r="Z189" s="546"/>
      <c r="AA189" s="1368"/>
      <c r="AB189" s="1368"/>
      <c r="AC189" s="1368"/>
      <c r="AD189" s="1368"/>
      <c r="AE189" s="1368"/>
      <c r="AF189" s="1634"/>
      <c r="AG189" s="624"/>
      <c r="AH189" s="624"/>
      <c r="AI189" s="624"/>
      <c r="AJ189" s="624"/>
      <c r="AK189" s="1643">
        <v>11</v>
      </c>
    </row>
    <row customHeight="1" ht="11.549999999999999">
      <c r="AK190" s="1633">
        <v>11</v>
      </c>
    </row>
    <row customHeight="1" ht="11.549999999999999">
      <c r="AK191" s="1633">
        <v>11</v>
      </c>
    </row>
    <row customHeight="1" ht="11.549999999999999">
      <c r="AK192" s="1633">
        <v>11</v>
      </c>
    </row>
    <row customHeight="1" ht="11.549999999999999">
      <c r="A193" s="992"/>
      <c r="B193" s="992"/>
      <c r="C193" s="992"/>
      <c r="D193" s="992"/>
      <c r="E193" s="992"/>
      <c r="F193" s="1633"/>
      <c r="H193" s="1633"/>
      <c r="N193" s="1633"/>
      <c r="P193" s="1633"/>
      <c r="S193" s="1633"/>
      <c r="T193" s="1633"/>
      <c r="U193" s="1633"/>
      <c r="V193" s="1633"/>
      <c r="X193" s="1633"/>
      <c r="Y193" s="1633"/>
      <c r="Z193" s="1633"/>
      <c r="AA193" s="1633"/>
      <c r="AB193" s="1633"/>
      <c r="AC193" s="1633"/>
      <c r="AD193" s="1633"/>
      <c r="AE193" s="1633"/>
      <c r="AF193" s="1633"/>
      <c r="AG193" s="1633"/>
      <c r="AH193" s="1633"/>
      <c r="AI193" s="1633"/>
      <c r="AJ193" s="1633"/>
      <c r="AK193" s="1633">
        <v>11</v>
      </c>
    </row>
    <row customHeight="1" ht="11.549999999999999">
      <c r="A194" s="992"/>
      <c r="B194" s="992"/>
      <c r="C194" s="992"/>
      <c r="D194" s="992"/>
      <c r="E194" s="992"/>
      <c r="F194" s="1633"/>
      <c r="H194" s="1633"/>
      <c r="N194" s="1633"/>
      <c r="P194" s="1633"/>
      <c r="S194" s="1633"/>
      <c r="T194" s="1633"/>
      <c r="U194" s="1633"/>
      <c r="V194" s="1633"/>
      <c r="X194" s="1633"/>
      <c r="Y194" s="1633"/>
      <c r="Z194" s="1633"/>
      <c r="AA194" s="1633"/>
      <c r="AB194" s="1633"/>
      <c r="AC194" s="1633"/>
      <c r="AD194" s="1633"/>
      <c r="AE194" s="1633"/>
      <c r="AF194" s="1633"/>
      <c r="AG194" s="1633"/>
      <c r="AH194" s="1633"/>
      <c r="AI194" s="1633"/>
      <c r="AJ194" s="1633"/>
      <c r="AK194" s="1633">
        <v>11</v>
      </c>
    </row>
    <row customHeight="1" ht="11.549999999999999">
      <c r="A195" s="992"/>
      <c r="B195" s="992"/>
      <c r="C195" s="992"/>
      <c r="D195" s="992"/>
      <c r="E195" s="992"/>
      <c r="F195" s="1633"/>
      <c r="H195" s="1633"/>
      <c r="N195" s="1633"/>
      <c r="P195" s="1633"/>
      <c r="S195" s="1633"/>
      <c r="T195" s="1633"/>
      <c r="U195" s="1633"/>
      <c r="V195" s="1633"/>
      <c r="X195" s="1633"/>
      <c r="Y195" s="1633"/>
      <c r="Z195" s="1633"/>
      <c r="AA195" s="1633"/>
      <c r="AB195" s="1633"/>
      <c r="AC195" s="1633"/>
      <c r="AD195" s="1633"/>
      <c r="AE195" s="1633"/>
      <c r="AF195" s="1633"/>
      <c r="AG195" s="1633"/>
      <c r="AH195" s="1633"/>
      <c r="AI195" s="1633"/>
      <c r="AJ195" s="1633"/>
      <c r="AK195" s="1633">
        <v>11</v>
      </c>
    </row>
    <row customHeight="1" ht="11.549999999999999">
      <c r="A196" s="992"/>
      <c r="B196" s="992"/>
      <c r="C196" s="992"/>
      <c r="D196" s="992"/>
      <c r="E196" s="992"/>
      <c r="F196" s="1633"/>
      <c r="H196" s="1633"/>
      <c r="N196" s="1633"/>
      <c r="P196" s="1633"/>
      <c r="S196" s="1633"/>
      <c r="T196" s="1633"/>
      <c r="U196" s="1633"/>
      <c r="V196" s="1633"/>
      <c r="X196" s="1633"/>
      <c r="Y196" s="1633"/>
      <c r="Z196" s="1633"/>
      <c r="AA196" s="1633"/>
      <c r="AB196" s="1633"/>
      <c r="AC196" s="1633"/>
      <c r="AD196" s="1633"/>
      <c r="AE196" s="1633"/>
      <c r="AF196" s="1633"/>
      <c r="AG196" s="1633"/>
      <c r="AH196" s="1633"/>
      <c r="AI196" s="1633"/>
      <c r="AJ196" s="1633"/>
      <c r="AK196" s="1633">
        <v>11</v>
      </c>
    </row>
    <row customHeight="1" ht="11.549999999999999">
      <c r="A197" s="992"/>
      <c r="B197" s="992"/>
      <c r="C197" s="992"/>
      <c r="D197" s="992"/>
      <c r="E197" s="992"/>
      <c r="F197" s="1633"/>
      <c r="H197" s="1633"/>
      <c r="N197" s="1633"/>
      <c r="P197" s="1633"/>
      <c r="S197" s="1633"/>
      <c r="T197" s="1633"/>
      <c r="U197" s="1633"/>
      <c r="V197" s="1633"/>
      <c r="X197" s="1633"/>
      <c r="Y197" s="1633"/>
      <c r="Z197" s="1633"/>
      <c r="AA197" s="1633"/>
      <c r="AB197" s="1633"/>
      <c r="AC197" s="1633"/>
      <c r="AD197" s="1633"/>
      <c r="AE197" s="1633"/>
      <c r="AF197" s="1633"/>
      <c r="AG197" s="1633"/>
      <c r="AH197" s="1633"/>
      <c r="AI197" s="1633"/>
      <c r="AJ197" s="1633"/>
      <c r="AK197" s="1633">
        <v>11</v>
      </c>
    </row>
    <row customHeight="1" ht="11.549999999999999">
      <c r="A198" s="992"/>
      <c r="B198" s="992"/>
      <c r="C198" s="992"/>
      <c r="D198" s="992"/>
      <c r="E198" s="992"/>
      <c r="F198" s="1633"/>
      <c r="H198" s="1633"/>
      <c r="N198" s="1633"/>
      <c r="P198" s="1633"/>
      <c r="S198" s="1633"/>
      <c r="T198" s="1633"/>
      <c r="U198" s="1633"/>
      <c r="V198" s="1633"/>
      <c r="X198" s="1633"/>
      <c r="Y198" s="1633"/>
      <c r="Z198" s="1633"/>
      <c r="AA198" s="1633"/>
      <c r="AB198" s="1633"/>
      <c r="AC198" s="1633"/>
      <c r="AD198" s="1633"/>
      <c r="AE198" s="1633"/>
      <c r="AF198" s="1633"/>
      <c r="AG198" s="1633"/>
      <c r="AH198" s="1633"/>
      <c r="AI198" s="1633"/>
      <c r="AJ198" s="1633"/>
      <c r="AK198" s="1633">
        <v>11</v>
      </c>
    </row>
    <row customHeight="1" ht="11.549999999999999">
      <c r="A199" s="992"/>
      <c r="B199" s="992"/>
      <c r="C199" s="992"/>
      <c r="D199" s="992"/>
      <c r="E199" s="992"/>
      <c r="F199" s="1633"/>
      <c r="H199" s="1633"/>
      <c r="N199" s="1633"/>
      <c r="P199" s="1633"/>
      <c r="S199" s="1633"/>
      <c r="T199" s="1633"/>
      <c r="U199" s="1633"/>
      <c r="V199" s="1633"/>
      <c r="X199" s="1633"/>
      <c r="Y199" s="1633"/>
      <c r="Z199" s="1633"/>
      <c r="AA199" s="1633"/>
      <c r="AB199" s="1633"/>
      <c r="AC199" s="1633"/>
      <c r="AD199" s="1633"/>
      <c r="AE199" s="1633"/>
      <c r="AF199" s="1633"/>
      <c r="AG199" s="1633"/>
      <c r="AH199" s="1633"/>
      <c r="AI199" s="1633"/>
      <c r="AJ199" s="1633"/>
      <c r="AK199" s="1633">
        <v>11</v>
      </c>
    </row>
    <row customHeight="1" ht="11.549999999999999">
      <c r="A200" s="992"/>
      <c r="B200" s="992"/>
      <c r="C200" s="992"/>
      <c r="D200" s="992"/>
      <c r="E200" s="992"/>
      <c r="F200" s="1633"/>
      <c r="H200" s="1633"/>
      <c r="N200" s="1633"/>
      <c r="P200" s="1633"/>
      <c r="S200" s="1633"/>
      <c r="T200" s="1633"/>
      <c r="U200" s="1633"/>
      <c r="V200" s="1633"/>
      <c r="X200" s="1633"/>
      <c r="Y200" s="1633"/>
      <c r="Z200" s="1633"/>
      <c r="AA200" s="1633"/>
      <c r="AB200" s="1633"/>
      <c r="AC200" s="1633"/>
      <c r="AD200" s="1633"/>
      <c r="AE200" s="1633"/>
      <c r="AF200" s="1633"/>
      <c r="AG200" s="1633"/>
      <c r="AH200" s="1633"/>
      <c r="AI200" s="1633"/>
      <c r="AJ200" s="1633"/>
      <c r="AK200" s="1633">
        <v>11</v>
      </c>
    </row>
    <row customHeight="1" ht="11.549999999999999">
      <c r="A201" s="992"/>
      <c r="B201" s="992"/>
      <c r="C201" s="992"/>
      <c r="D201" s="992"/>
      <c r="E201" s="992"/>
      <c r="F201" s="1633"/>
      <c r="H201" s="1633"/>
      <c r="N201" s="1633"/>
      <c r="P201" s="1633"/>
      <c r="S201" s="1633"/>
      <c r="T201" s="1633"/>
      <c r="U201" s="1633"/>
      <c r="V201" s="1633"/>
      <c r="X201" s="1633"/>
      <c r="Y201" s="1633"/>
      <c r="Z201" s="1633"/>
      <c r="AA201" s="1633"/>
      <c r="AB201" s="1633"/>
      <c r="AC201" s="1633"/>
      <c r="AD201" s="1633"/>
      <c r="AE201" s="1633"/>
      <c r="AF201" s="1633"/>
      <c r="AG201" s="1633"/>
      <c r="AH201" s="1633"/>
      <c r="AI201" s="1633"/>
      <c r="AJ201" s="1633"/>
      <c r="AK201" s="1633">
        <v>11</v>
      </c>
    </row>
    <row customHeight="1" ht="11.549999999999999">
      <c r="A202" s="992"/>
      <c r="B202" s="992"/>
      <c r="C202" s="992"/>
      <c r="D202" s="992"/>
      <c r="E202" s="992"/>
      <c r="F202" s="1633"/>
      <c r="H202" s="1633"/>
      <c r="N202" s="1633"/>
      <c r="P202" s="1633"/>
      <c r="S202" s="1633"/>
      <c r="T202" s="1633"/>
      <c r="U202" s="1633"/>
      <c r="V202" s="1633"/>
      <c r="X202" s="1633"/>
      <c r="Y202" s="1633"/>
      <c r="Z202" s="1633"/>
      <c r="AA202" s="1633"/>
      <c r="AB202" s="1633"/>
      <c r="AC202" s="1633"/>
      <c r="AD202" s="1633"/>
      <c r="AE202" s="1633"/>
      <c r="AF202" s="1633"/>
      <c r="AG202" s="1633"/>
      <c r="AH202" s="1633"/>
      <c r="AI202" s="1633"/>
      <c r="AJ202" s="1633"/>
      <c r="AK202" s="1633">
        <v>11</v>
      </c>
    </row>
    <row customHeight="1" ht="11.549999999999999">
      <c r="A203" s="992"/>
      <c r="B203" s="992"/>
      <c r="C203" s="992"/>
      <c r="D203" s="992"/>
      <c r="E203" s="992"/>
      <c r="F203" s="1633"/>
      <c r="H203" s="1633"/>
      <c r="N203" s="1633"/>
      <c r="P203" s="1633"/>
      <c r="S203" s="1633"/>
      <c r="T203" s="1633"/>
      <c r="U203" s="1633"/>
      <c r="V203" s="1633"/>
      <c r="X203" s="1633"/>
      <c r="Y203" s="1633"/>
      <c r="Z203" s="1633"/>
      <c r="AA203" s="1633"/>
      <c r="AB203" s="1633"/>
      <c r="AC203" s="1633"/>
      <c r="AD203" s="1633"/>
      <c r="AE203" s="1633"/>
      <c r="AF203" s="1633"/>
      <c r="AG203" s="1633"/>
      <c r="AH203" s="1633"/>
      <c r="AI203" s="1633"/>
      <c r="AJ203" s="1633"/>
      <c r="AK203" s="1633">
        <v>11</v>
      </c>
    </row>
    <row customHeight="1" ht="12.75" hidden="1">
      <c r="A204" s="989" t="s">
        <v>82</v>
      </c>
      <c r="B204" s="989" t="s">
        <v>151</v>
      </c>
      <c r="C204" s="989" t="s">
        <v>151</v>
      </c>
      <c r="D204" s="989" t="s">
        <v>151</v>
      </c>
      <c r="E204" s="989" t="s">
        <v>151</v>
      </c>
      <c r="F204" s="1637">
        <v>16</v>
      </c>
      <c r="G204" s="1638">
        <v>0</v>
      </c>
      <c r="H204" s="1637">
        <v>3</v>
      </c>
      <c r="I204" s="1633">
        <v>7</v>
      </c>
      <c r="J204" s="1633">
        <v>56</v>
      </c>
      <c r="K204" s="1633">
        <v>10</v>
      </c>
      <c r="L204" s="1633">
        <v>40</v>
      </c>
      <c r="M204" s="1633">
        <v>40</v>
      </c>
      <c r="N204" s="1368">
        <v>9</v>
      </c>
      <c r="O204" s="1633">
        <v>102</v>
      </c>
      <c r="P204" s="1368">
        <v>9</v>
      </c>
      <c r="Q204" s="1638">
        <v>5</v>
      </c>
      <c r="R204" s="1638">
        <v>3</v>
      </c>
      <c r="S204" s="1368">
        <v>3</v>
      </c>
      <c r="T204" s="1368">
        <v>3</v>
      </c>
      <c r="U204" s="1368">
        <v>3</v>
      </c>
      <c r="V204" s="1368">
        <v>3</v>
      </c>
      <c r="W204" s="1638">
        <v>10</v>
      </c>
      <c r="X204" s="1368">
        <v>34</v>
      </c>
      <c r="Y204" s="1368">
        <v>9</v>
      </c>
      <c r="Z204" s="546">
        <v>8</v>
      </c>
      <c r="AA204" s="1368">
        <v>8</v>
      </c>
      <c r="AB204" s="1368">
        <v>8</v>
      </c>
      <c r="AC204" s="1368">
        <v>8</v>
      </c>
      <c r="AD204" s="1368">
        <v>8</v>
      </c>
      <c r="AE204" s="1368">
        <v>8</v>
      </c>
      <c r="AF204" s="1634">
        <v>8</v>
      </c>
      <c r="AG204" s="1634">
        <v>8</v>
      </c>
      <c r="AH204" s="1634">
        <v>8</v>
      </c>
      <c r="AI204" s="1634">
        <v>8</v>
      </c>
      <c r="AJ204" s="1634">
        <v>8</v>
      </c>
      <c r="AK204" s="1633">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05A665-1C09-833A-4435-2496BE2F8CA1}"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7" width="10.57421875" hidden="1"/>
    <col min="5" max="5" style="2399" width="9.140625" hidden="1" customWidth="1"/>
    <col min="6" max="7" style="1368" width="9.140625" hidden="1" customWidth="1"/>
    <col min="8" max="8" style="346" width="3.00390625" customWidth="1"/>
    <col min="9" max="9" style="1637" width="6.00390625" customWidth="1"/>
    <col min="10" max="10" style="1637" width="63.00390625" customWidth="1"/>
    <col min="11" max="11" style="1637" width="9.00390625" customWidth="1"/>
    <col min="12" max="12" style="1637" width="39.00390625" customWidth="1"/>
    <col min="13" max="13" style="1637" width="89.00390625" customWidth="1"/>
    <col min="14" max="14" style="1637" width="10.00390625" customWidth="1"/>
    <col min="15" max="16" style="1626" width="10.00390625" customWidth="1"/>
    <col min="17" max="22" style="1637" width="10.00390625" customWidth="1"/>
    <col min="23" max="23" style="1637" width="10.57421875" hidden="1"/>
  </cols>
  <sheetData>
    <row customHeight="1" ht="22.5" hidden="1">
      <c r="S1" s="257"/>
      <c r="T1" s="257"/>
      <c r="V1" s="257"/>
      <c r="W1" s="1633" t="s">
        <v>14</v>
      </c>
    </row>
    <row customHeight="1" ht="22.5" hidden="1">
      <c r="B2" s="2055" t="s">
        <v>687</v>
      </c>
      <c r="C2" s="2055" t="s">
        <v>688</v>
      </c>
      <c r="D2" s="2054" t="s">
        <v>627</v>
      </c>
      <c r="E2" s="2060">
        <f>I2-3</f>
        <v>-3</v>
      </c>
      <c r="F2" s="2060">
        <f>J2</f>
        <v>0</v>
      </c>
      <c r="H2" s="1732" t="s">
        <v>689</v>
      </c>
      <c r="I2" s="2026"/>
      <c r="J2" s="1684"/>
      <c r="K2" s="2020" t="s">
        <v>306</v>
      </c>
      <c r="L2" s="1166"/>
      <c r="M2" s="299"/>
      <c r="N2" s="1626"/>
      <c r="P2" s="1633"/>
      <c r="W2" s="1633">
        <v>0</v>
      </c>
    </row>
    <row customHeight="1" ht="14.25" hidden="1">
      <c r="W3" s="1633">
        <v>0</v>
      </c>
    </row>
    <row customHeight="1" ht="6.3">
      <c r="H4" s="378"/>
      <c r="I4" s="459"/>
      <c r="J4" s="459"/>
      <c r="K4" s="459"/>
      <c r="L4" s="87"/>
      <c r="M4" s="87"/>
      <c r="W4" s="1633">
        <v>6</v>
      </c>
    </row>
    <row customHeight="1" ht="50.25">
      <c r="H5" s="378"/>
      <c r="I5" s="2250" t="s">
        <v>690</v>
      </c>
      <c r="J5" s="2250"/>
      <c r="K5" s="2250"/>
      <c r="L5" s="2250"/>
      <c r="M5" s="268"/>
      <c r="W5" s="1633">
        <v>48</v>
      </c>
    </row>
    <row customHeight="1" ht="18">
      <c r="H6" s="378"/>
      <c r="I6" s="2251" t="str">
        <f>IF(org=0,"Не определено",org)</f>
        <v>ПАО "ТГК-2"</v>
      </c>
      <c r="J6" s="2251"/>
      <c r="K6" s="2251"/>
      <c r="L6" s="2251"/>
      <c r="M6" s="268"/>
      <c r="W6" s="1633">
        <v>17</v>
      </c>
    </row>
    <row customHeight="1" ht="14.699999999999998">
      <c r="H7" s="378"/>
      <c r="I7" s="459"/>
      <c r="J7" s="465"/>
      <c r="K7" s="465"/>
      <c r="L7" s="754"/>
      <c r="M7" s="195"/>
      <c r="W7" s="1633">
        <v>14</v>
      </c>
    </row>
    <row customHeight="1" ht="14.699999999999998">
      <c r="H8" s="378"/>
      <c r="I8" s="2388" t="s">
        <v>300</v>
      </c>
      <c r="J8" s="2389"/>
      <c r="K8" s="2389"/>
      <c r="L8" s="2390"/>
      <c r="M8" s="2391" t="s">
        <v>301</v>
      </c>
      <c r="W8" s="1633">
        <v>14</v>
      </c>
    </row>
    <row customHeight="1" ht="35.699999999999996">
      <c r="E9" s="2053" t="s">
        <v>618</v>
      </c>
      <c r="F9" s="2053" t="s">
        <v>624</v>
      </c>
      <c r="H9" s="378"/>
      <c r="I9" s="2027" t="s">
        <v>88</v>
      </c>
      <c r="J9" s="2028" t="s">
        <v>302</v>
      </c>
      <c r="K9" s="2066" t="s">
        <v>566</v>
      </c>
      <c r="L9" s="2067" t="s">
        <v>303</v>
      </c>
      <c r="M9" s="2391"/>
      <c r="W9" s="1633">
        <v>34</v>
      </c>
    </row>
    <row customHeight="1" ht="35.699999999999996">
      <c r="B10" s="2055" t="s">
        <v>691</v>
      </c>
      <c r="C10" s="2055" t="s">
        <v>692</v>
      </c>
      <c r="D10" s="2054" t="s">
        <v>627</v>
      </c>
      <c r="E10" s="2058" t="s">
        <v>628</v>
      </c>
      <c r="F10" s="2058" t="s">
        <v>628</v>
      </c>
      <c r="H10" s="378"/>
      <c r="I10" s="2026" t="s">
        <v>109</v>
      </c>
      <c r="J10" s="1888" t="s">
        <v>693</v>
      </c>
      <c r="K10" s="2020" t="s">
        <v>306</v>
      </c>
      <c r="L10" s="820"/>
      <c r="M10" s="299" t="s">
        <v>694</v>
      </c>
      <c r="W10" s="1633">
        <v>34</v>
      </c>
    </row>
    <row customHeight="1" ht="50.25">
      <c r="B11" s="2055" t="s">
        <v>695</v>
      </c>
      <c r="C11" s="2055" t="s">
        <v>696</v>
      </c>
      <c r="D11" s="2054" t="s">
        <v>627</v>
      </c>
      <c r="E11" s="2058" t="s">
        <v>628</v>
      </c>
      <c r="F11" s="2058" t="s">
        <v>628</v>
      </c>
      <c r="H11" s="378"/>
      <c r="I11" s="2026" t="s">
        <v>110</v>
      </c>
      <c r="J11" s="1888" t="s">
        <v>697</v>
      </c>
      <c r="K11" s="2020" t="s">
        <v>306</v>
      </c>
      <c r="L11" s="820"/>
      <c r="M11" s="299" t="s">
        <v>694</v>
      </c>
      <c r="W11" s="1633">
        <v>48</v>
      </c>
    </row>
    <row customHeight="1" ht="48.29999999999999">
      <c r="B12" s="2055" t="s">
        <v>698</v>
      </c>
      <c r="C12" s="2055" t="s">
        <v>699</v>
      </c>
      <c r="D12" s="2054" t="s">
        <v>627</v>
      </c>
      <c r="E12" s="2058" t="s">
        <v>628</v>
      </c>
      <c r="F12" s="2058" t="s">
        <v>628</v>
      </c>
      <c r="H12" s="1690"/>
      <c r="I12" s="2026" t="s">
        <v>90</v>
      </c>
      <c r="J12" s="2033" t="s">
        <v>700</v>
      </c>
      <c r="K12" s="2020" t="s">
        <v>306</v>
      </c>
      <c r="L12" s="820"/>
      <c r="M12" s="299" t="s">
        <v>701</v>
      </c>
      <c r="N12" s="1626"/>
      <c r="P12" s="1633"/>
      <c r="W12" s="1633">
        <v>46</v>
      </c>
    </row>
    <row customHeight="1" ht="14.699999999999998">
      <c r="E13" s="345"/>
      <c r="H13" s="378"/>
      <c r="I13" s="349"/>
      <c r="J13" s="653" t="s">
        <v>702</v>
      </c>
      <c r="K13" s="573"/>
      <c r="L13" s="216"/>
      <c r="M13" s="299"/>
      <c r="W13" s="1633">
        <v>14</v>
      </c>
    </row>
    <row customHeight="1" ht="14.699999999999998">
      <c r="E14" s="345"/>
      <c r="H14" s="378"/>
      <c r="I14" s="1059"/>
      <c r="J14" s="1679"/>
      <c r="K14" s="1680"/>
      <c r="L14" s="1681"/>
      <c r="M14" s="2030"/>
      <c r="W14" s="1633">
        <v>14</v>
      </c>
    </row>
    <row customHeight="1" ht="14.699999999999998">
      <c r="I15" s="1683"/>
      <c r="J15" s="2387"/>
      <c r="K15" s="2387"/>
      <c r="L15" s="2387"/>
      <c r="M15" s="2387"/>
      <c r="W15" s="1633">
        <v>14</v>
      </c>
    </row>
    <row customHeight="1" ht="21" hidden="1">
      <c r="A16" s="2032" t="s">
        <v>82</v>
      </c>
      <c r="B16" s="1633">
        <v>9</v>
      </c>
      <c r="C16" s="1633">
        <v>9</v>
      </c>
      <c r="D16" s="1633">
        <v>9</v>
      </c>
      <c r="E16" s="2032" t="s">
        <v>150</v>
      </c>
      <c r="F16" s="2057" t="s">
        <v>150</v>
      </c>
      <c r="G16" s="2059"/>
      <c r="H16" s="346">
        <v>3</v>
      </c>
      <c r="I16" s="1633">
        <v>6</v>
      </c>
      <c r="J16" s="1633">
        <v>63</v>
      </c>
      <c r="K16" s="1633">
        <v>9</v>
      </c>
      <c r="L16" s="1633">
        <v>39</v>
      </c>
      <c r="M16" s="1633">
        <v>89</v>
      </c>
      <c r="N16" s="1633">
        <v>10</v>
      </c>
      <c r="O16" s="1626">
        <v>10</v>
      </c>
      <c r="P16" s="1626">
        <v>10</v>
      </c>
      <c r="Q16" s="1633">
        <v>10</v>
      </c>
      <c r="R16" s="1633">
        <v>10</v>
      </c>
      <c r="S16" s="1633">
        <v>10</v>
      </c>
      <c r="T16" s="1633">
        <v>10</v>
      </c>
      <c r="U16" s="1633">
        <v>10</v>
      </c>
      <c r="V16" s="1633">
        <v>10</v>
      </c>
      <c r="W16" s="1633">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778DE7-08AD-D459-BC6D-8130672B7403}"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6.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10.421875" hidden="1" customWidth="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39"/>
      <c r="F2" s="542"/>
      <c r="G2" s="1641" t="s">
        <v>552</v>
      </c>
      <c r="H2" s="543"/>
      <c r="I2" s="543"/>
      <c r="J2" s="544" t="s">
        <v>703</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1.5">
      <c r="E6" s="2309" t="s">
        <v>704</v>
      </c>
      <c r="F6" s="2309"/>
      <c r="G6" s="2309"/>
      <c r="H6" s="2309"/>
      <c r="I6" s="2309"/>
      <c r="J6" s="558"/>
      <c r="AF6" s="1633">
        <v>30</v>
      </c>
    </row>
    <row customHeight="1" ht="11.549999999999999">
      <c r="E7" s="2251" t="str">
        <f>IF(org=0,"Не определено",org)</f>
        <v>ПАО "ТГК-2"</v>
      </c>
      <c r="F7" s="2251"/>
      <c r="G7" s="2251"/>
      <c r="H7" s="2251"/>
      <c r="I7" s="2251"/>
      <c r="AF7" s="1633">
        <v>11</v>
      </c>
    </row>
    <row customHeight="1" ht="11.549999999999999">
      <c r="E8" s="1137"/>
      <c r="F8" s="1137"/>
      <c r="G8" s="1137"/>
      <c r="H8" s="1137"/>
      <c r="I8" s="1137"/>
      <c r="AF8" s="1633">
        <v>11</v>
      </c>
    </row>
    <row s="1644" customFormat="1" customHeight="1" ht="4.2">
      <c r="A9" s="1169"/>
      <c r="D9" s="1644"/>
      <c r="H9" s="891"/>
      <c r="I9" s="891" t="s">
        <v>118</v>
      </c>
      <c r="AF9" s="1638">
        <v>4</v>
      </c>
    </row>
    <row customHeight="1" ht="11.549999999999999">
      <c r="E10" s="713"/>
      <c r="F10" s="2369" t="s">
        <v>105</v>
      </c>
      <c r="G10" s="2370"/>
      <c r="H10" s="1554" t="str">
        <f>IF(H9="","",INDEX(DIFFERENTIATION_UNMERGE_VD,MATCH(H9,DIFFERENTIATION_ID_DIFF,0)))</f>
        <v/>
      </c>
      <c r="I10" s="1554" t="str">
        <f>IF(I9="","",INDEX(DIFFERENTIATION_UNMERGE_VD,MATCH(I9,DIFFERENTIATION_ID_DIFF,0)))</f>
        <v>Подключение (технологическое присоединение) к системе теплоснабжения</v>
      </c>
      <c r="J10" s="2129"/>
      <c r="AF10" s="1633">
        <v>11</v>
      </c>
    </row>
    <row customHeight="1" ht="11.549999999999999">
      <c r="E11" s="713"/>
      <c r="F11" s="2369" t="s">
        <v>564</v>
      </c>
      <c r="G11" s="2370"/>
      <c r="H11" s="1554" t="str">
        <f>IF(H9="","",INDEX(DIFFERENTIATION_UNMERGE_AREA,MATCH(H9,DIFFERENTIATION_ID_DIFF,0)))</f>
        <v/>
      </c>
      <c r="I11" s="1554" t="str">
        <f>IF(I9="","",INDEX(DIFFERENTIATION_UNMERGE_AREA,MATCH(I9,DIFFERENTIATION_ID_DIFF,0)))</f>
        <v>Территория 1</v>
      </c>
      <c r="J11" s="2129"/>
      <c r="AF11" s="1633">
        <v>11</v>
      </c>
    </row>
    <row customHeight="1" ht="1.05">
      <c r="E12" s="1664"/>
      <c r="F12" s="2392" t="s">
        <v>565</v>
      </c>
      <c r="G12" s="2393"/>
      <c r="H12" s="1665" t="str">
        <f>IF(H9="","",INDEX(DIFFERENTIATION_UNMERGE_SYSTEM,MATCH(H9,DIFFERENTIATION_ID_DIFF,0)))</f>
        <v/>
      </c>
      <c r="I12" s="1665" t="str">
        <f>IF(I9="","",INDEX(DIFFERENTIATION_UNMERGE_SYSTEM,MATCH(I9,DIFFERENTIATION_ID_DIFF,0)))</f>
        <v>Вологодская ТЭЦ</v>
      </c>
      <c r="J12" s="2129"/>
      <c r="AF12" s="1633">
        <v>1</v>
      </c>
    </row>
    <row customHeight="1" ht="11.549999999999999">
      <c r="E13" s="2371" t="s">
        <v>300</v>
      </c>
      <c r="F13" s="2372"/>
      <c r="G13" s="2372"/>
      <c r="H13" s="1553"/>
      <c r="I13" s="1553"/>
      <c r="J13" s="2129"/>
      <c r="AF13" s="1633">
        <v>11</v>
      </c>
    </row>
    <row customHeight="1" ht="24">
      <c r="E14" s="1641" t="s">
        <v>88</v>
      </c>
      <c r="F14" s="1636" t="s">
        <v>302</v>
      </c>
      <c r="G14" s="1636" t="s">
        <v>566</v>
      </c>
      <c r="H14" s="1636" t="s">
        <v>303</v>
      </c>
      <c r="I14" s="1636" t="s">
        <v>303</v>
      </c>
      <c r="J14" s="2129"/>
      <c r="AF14" s="1633">
        <v>23</v>
      </c>
    </row>
    <row customHeight="1" ht="19.95">
      <c r="D15" s="1640"/>
      <c r="E15" s="1632" t="s">
        <v>109</v>
      </c>
      <c r="F15" s="709" t="s">
        <v>705</v>
      </c>
      <c r="G15" s="1648" t="s">
        <v>552</v>
      </c>
      <c r="H15" s="559"/>
      <c r="I15" s="559"/>
      <c r="J15" s="291" t="s">
        <v>706</v>
      </c>
      <c r="K15" s="545" t="s">
        <v>630</v>
      </c>
      <c r="AF15" s="1633">
        <v>19</v>
      </c>
    </row>
    <row customHeight="1" ht="35.699999999999996">
      <c r="D16" s="1640"/>
      <c r="E16" s="1632" t="s">
        <v>110</v>
      </c>
      <c r="F16" s="709" t="s">
        <v>707</v>
      </c>
      <c r="G16" s="1648" t="s">
        <v>552</v>
      </c>
      <c r="H16" s="560">
        <f>SUM(H17,H20:H32)</f>
        <v>0</v>
      </c>
      <c r="I16" s="560">
        <f>SUM(I17,I20,I23,I26,I29:I32)</f>
        <v>0</v>
      </c>
      <c r="J16" s="291" t="s">
        <v>708</v>
      </c>
      <c r="K16" s="545" t="s">
        <v>630</v>
      </c>
      <c r="AF16" s="1633">
        <v>34</v>
      </c>
    </row>
    <row customHeight="1" ht="19.95">
      <c r="D17" s="1640"/>
      <c r="E17" s="1666" t="s">
        <v>709</v>
      </c>
      <c r="F17" s="956" t="s">
        <v>710</v>
      </c>
      <c r="G17" s="1645" t="s">
        <v>552</v>
      </c>
      <c r="H17" s="559"/>
      <c r="I17" s="559"/>
      <c r="J17" s="291" t="s">
        <v>711</v>
      </c>
      <c r="K17" s="545"/>
      <c r="AF17" s="1633">
        <v>19</v>
      </c>
    </row>
    <row customHeight="1" ht="24">
      <c r="D18" s="1640"/>
      <c r="E18" s="1666" t="s">
        <v>712</v>
      </c>
      <c r="F18" s="1652" t="s">
        <v>713</v>
      </c>
      <c r="G18" s="1645" t="s">
        <v>552</v>
      </c>
      <c r="H18" s="559"/>
      <c r="I18" s="559"/>
      <c r="J18" s="291" t="s">
        <v>714</v>
      </c>
      <c r="K18" s="545"/>
      <c r="AF18" s="1633">
        <v>23</v>
      </c>
    </row>
    <row customHeight="1" ht="35.699999999999996">
      <c r="D19" s="1640"/>
      <c r="E19" s="1666" t="s">
        <v>715</v>
      </c>
      <c r="F19" s="1652" t="s">
        <v>716</v>
      </c>
      <c r="G19" s="1645" t="s">
        <v>552</v>
      </c>
      <c r="H19" s="559"/>
      <c r="I19" s="559"/>
      <c r="J19" s="291"/>
      <c r="K19" s="545"/>
      <c r="AF19" s="1633">
        <v>34</v>
      </c>
    </row>
    <row customHeight="1" ht="19.95">
      <c r="D20" s="1640"/>
      <c r="E20" s="1666" t="s">
        <v>307</v>
      </c>
      <c r="F20" s="956" t="s">
        <v>717</v>
      </c>
      <c r="G20" s="1645" t="s">
        <v>552</v>
      </c>
      <c r="H20" s="559"/>
      <c r="I20" s="559"/>
      <c r="J20" s="291" t="s">
        <v>718</v>
      </c>
      <c r="K20" s="545"/>
      <c r="AF20" s="1633">
        <v>19</v>
      </c>
    </row>
    <row customHeight="1" ht="19.95">
      <c r="D21" s="1640"/>
      <c r="E21" s="1666" t="s">
        <v>719</v>
      </c>
      <c r="F21" s="1652" t="s">
        <v>720</v>
      </c>
      <c r="G21" s="1645" t="s">
        <v>552</v>
      </c>
      <c r="H21" s="559"/>
      <c r="I21" s="559"/>
      <c r="J21" s="291"/>
      <c r="K21" s="545"/>
      <c r="AF21" s="1633">
        <v>19</v>
      </c>
    </row>
    <row customHeight="1" ht="19.95">
      <c r="D22" s="1640"/>
      <c r="E22" s="1666" t="s">
        <v>721</v>
      </c>
      <c r="F22" s="1652" t="s">
        <v>722</v>
      </c>
      <c r="G22" s="1645" t="s">
        <v>552</v>
      </c>
      <c r="H22" s="559"/>
      <c r="I22" s="559"/>
      <c r="J22" s="291"/>
      <c r="K22" s="545"/>
      <c r="AF22" s="1633">
        <v>19</v>
      </c>
    </row>
    <row customHeight="1" ht="24">
      <c r="D23" s="1640"/>
      <c r="E23" s="1666" t="s">
        <v>310</v>
      </c>
      <c r="F23" s="956" t="s">
        <v>723</v>
      </c>
      <c r="G23" s="1645" t="s">
        <v>552</v>
      </c>
      <c r="H23" s="559"/>
      <c r="I23" s="559"/>
      <c r="J23" s="291" t="s">
        <v>724</v>
      </c>
      <c r="K23" s="545"/>
      <c r="AF23" s="1633">
        <v>23</v>
      </c>
    </row>
    <row customHeight="1" ht="19.95">
      <c r="D24" s="1640"/>
      <c r="E24" s="1666" t="s">
        <v>725</v>
      </c>
      <c r="F24" s="1652" t="s">
        <v>726</v>
      </c>
      <c r="G24" s="1645" t="s">
        <v>552</v>
      </c>
      <c r="H24" s="559"/>
      <c r="I24" s="559"/>
      <c r="J24" s="291"/>
      <c r="K24" s="545"/>
      <c r="AF24" s="1633">
        <v>19</v>
      </c>
    </row>
    <row customHeight="1" ht="35.699999999999996">
      <c r="D25" s="1640"/>
      <c r="E25" s="1666" t="s">
        <v>727</v>
      </c>
      <c r="F25" s="1652" t="s">
        <v>728</v>
      </c>
      <c r="G25" s="1645" t="s">
        <v>552</v>
      </c>
      <c r="H25" s="559"/>
      <c r="I25" s="559"/>
      <c r="J25" s="291"/>
      <c r="K25" s="545"/>
      <c r="AF25" s="1633">
        <v>34</v>
      </c>
    </row>
    <row customHeight="1" ht="24">
      <c r="D26" s="1640"/>
      <c r="E26" s="1666" t="s">
        <v>729</v>
      </c>
      <c r="F26" s="956" t="s">
        <v>730</v>
      </c>
      <c r="G26" s="1645" t="s">
        <v>552</v>
      </c>
      <c r="H26" s="559"/>
      <c r="I26" s="559"/>
      <c r="J26" s="291" t="s">
        <v>731</v>
      </c>
      <c r="K26" s="545"/>
      <c r="AF26" s="1633">
        <v>23</v>
      </c>
    </row>
    <row customHeight="1" ht="19.95">
      <c r="D27" s="1640"/>
      <c r="E27" s="1677" t="s">
        <v>732</v>
      </c>
      <c r="F27" s="1652" t="s">
        <v>733</v>
      </c>
      <c r="G27" s="1656" t="s">
        <v>552</v>
      </c>
      <c r="H27" s="1678"/>
      <c r="I27" s="1678"/>
      <c r="J27" s="291"/>
      <c r="K27" s="545"/>
      <c r="AF27" s="1633">
        <v>19</v>
      </c>
    </row>
    <row customHeight="1" ht="19.95">
      <c r="D28" s="1640"/>
      <c r="E28" s="1677" t="s">
        <v>734</v>
      </c>
      <c r="F28" s="1652" t="s">
        <v>735</v>
      </c>
      <c r="G28" s="1656" t="s">
        <v>552</v>
      </c>
      <c r="H28" s="1678"/>
      <c r="I28" s="1678"/>
      <c r="J28" s="291"/>
      <c r="K28" s="545"/>
      <c r="AF28" s="1633">
        <v>19</v>
      </c>
    </row>
    <row customHeight="1" ht="19.95">
      <c r="D29" s="1640"/>
      <c r="E29" s="1677" t="s">
        <v>736</v>
      </c>
      <c r="F29" s="956" t="s">
        <v>737</v>
      </c>
      <c r="G29" s="1656" t="s">
        <v>552</v>
      </c>
      <c r="H29" s="1678"/>
      <c r="I29" s="1678"/>
      <c r="J29" s="291"/>
      <c r="K29" s="545"/>
      <c r="AF29" s="1633">
        <v>19</v>
      </c>
    </row>
    <row customHeight="1" ht="19.95">
      <c r="D30" s="1640"/>
      <c r="E30" s="1677" t="s">
        <v>738</v>
      </c>
      <c r="F30" s="956" t="s">
        <v>739</v>
      </c>
      <c r="G30" s="1656" t="s">
        <v>552</v>
      </c>
      <c r="H30" s="1678"/>
      <c r="I30" s="1678"/>
      <c r="J30" s="291"/>
      <c r="K30" s="545"/>
      <c r="AF30" s="1633">
        <v>19</v>
      </c>
    </row>
    <row customHeight="1" ht="19.95">
      <c r="D31" s="1640"/>
      <c r="E31" s="1677" t="s">
        <v>740</v>
      </c>
      <c r="F31" s="956" t="s">
        <v>741</v>
      </c>
      <c r="G31" s="1656" t="s">
        <v>552</v>
      </c>
      <c r="H31" s="1678"/>
      <c r="I31" s="1678"/>
      <c r="J31" s="291"/>
      <c r="K31" s="545"/>
      <c r="AF31" s="1633">
        <v>19</v>
      </c>
    </row>
    <row s="1368" customFormat="1" customHeight="1" ht="35.699999999999996">
      <c r="A32" s="989"/>
      <c r="C32" s="1638"/>
      <c r="D32" s="1640"/>
      <c r="E32" s="1677" t="s">
        <v>742</v>
      </c>
      <c r="F32" s="956" t="s">
        <v>743</v>
      </c>
      <c r="G32" s="1646" t="s">
        <v>552</v>
      </c>
      <c r="H32" s="581">
        <f>SUM(H33:H34)</f>
        <v>0</v>
      </c>
      <c r="I32" s="581">
        <f>SUM(I33:I34)</f>
        <v>0</v>
      </c>
      <c r="J32" s="291" t="s">
        <v>744</v>
      </c>
      <c r="K32" s="545"/>
      <c r="L32" s="1638"/>
      <c r="M32" s="1638"/>
      <c r="R32" s="1638"/>
      <c r="U32" s="546"/>
      <c r="AA32" s="1634"/>
      <c r="AB32" s="1634"/>
      <c r="AC32" s="1634"/>
      <c r="AD32" s="1634"/>
      <c r="AE32" s="1634"/>
      <c r="AF32" s="1162">
        <v>34</v>
      </c>
    </row>
    <row s="1644" customFormat="1" customHeight="1" ht="1.05">
      <c r="A33" s="1169"/>
      <c r="D33" s="550"/>
      <c r="E33" s="804" t="str">
        <f>E32&amp;".0"</f>
        <v>2.8.0</v>
      </c>
      <c r="F33" s="993"/>
      <c r="G33" s="553"/>
      <c r="H33" s="994"/>
      <c r="I33" s="994"/>
      <c r="J33" s="995"/>
      <c r="AF33" s="1638">
        <v>1</v>
      </c>
    </row>
    <row s="1368" customFormat="1" customHeight="1" ht="19.95">
      <c r="A34" s="989"/>
      <c r="C34" s="1638"/>
      <c r="D34" s="1635"/>
      <c r="E34" s="572"/>
      <c r="F34" s="1668" t="s">
        <v>577</v>
      </c>
      <c r="G34" s="574"/>
      <c r="H34" s="575"/>
      <c r="I34" s="575"/>
      <c r="J34" s="303" t="s">
        <v>745</v>
      </c>
      <c r="K34" s="545"/>
      <c r="L34" s="1638"/>
      <c r="M34" s="1638"/>
      <c r="R34" s="1638"/>
      <c r="U34" s="546"/>
      <c r="AA34" s="1634"/>
      <c r="AB34" s="1634"/>
      <c r="AC34" s="1634"/>
      <c r="AD34" s="1634"/>
      <c r="AE34" s="1634"/>
      <c r="AF34" s="1162">
        <v>19</v>
      </c>
    </row>
    <row customHeight="1" ht="60">
      <c r="D35" s="1640"/>
      <c r="E35" s="1677" t="s">
        <v>746</v>
      </c>
      <c r="F35" s="956" t="s">
        <v>747</v>
      </c>
      <c r="G35" s="1656" t="s">
        <v>552</v>
      </c>
      <c r="H35" s="1678"/>
      <c r="I35" s="1678"/>
      <c r="J35" s="291" t="s">
        <v>748</v>
      </c>
      <c r="K35" s="545"/>
      <c r="AF35" s="1633">
        <v>57</v>
      </c>
    </row>
    <row s="1368" customFormat="1" customHeight="1" ht="24">
      <c r="A36" s="991" t="s">
        <v>578</v>
      </c>
      <c r="C36" s="1638"/>
      <c r="D36" s="1640"/>
      <c r="E36" s="1666" t="s">
        <v>90</v>
      </c>
      <c r="F36" s="709" t="s">
        <v>749</v>
      </c>
      <c r="G36" s="1645" t="s">
        <v>552</v>
      </c>
      <c r="H36" s="559"/>
      <c r="I36" s="559"/>
      <c r="J36" s="291" t="s">
        <v>750</v>
      </c>
      <c r="K36" s="545"/>
      <c r="L36" s="1638"/>
      <c r="M36" s="1638"/>
      <c r="R36" s="1638"/>
      <c r="U36" s="546"/>
      <c r="AA36" s="1634"/>
      <c r="AB36" s="1634"/>
      <c r="AC36" s="1634"/>
      <c r="AD36" s="1634"/>
      <c r="AE36" s="1634"/>
      <c r="AF36" s="1162">
        <v>23</v>
      </c>
    </row>
    <row s="1368" customFormat="1" customHeight="1" ht="35.699999999999996">
      <c r="A37" s="991"/>
      <c r="C37" s="1638"/>
      <c r="D37" s="1640"/>
      <c r="E37" s="1666" t="s">
        <v>324</v>
      </c>
      <c r="F37" s="956" t="s">
        <v>751</v>
      </c>
      <c r="G37" s="1656"/>
      <c r="H37" s="559"/>
      <c r="I37" s="559"/>
      <c r="J37" s="291"/>
      <c r="K37" s="545"/>
      <c r="L37" s="1638"/>
      <c r="M37" s="1638"/>
      <c r="R37" s="1638"/>
      <c r="U37" s="546"/>
      <c r="AA37" s="1634"/>
      <c r="AB37" s="1634"/>
      <c r="AC37" s="1634"/>
      <c r="AD37" s="1634"/>
      <c r="AE37" s="1634"/>
      <c r="AF37" s="1162">
        <v>34</v>
      </c>
    </row>
    <row s="1368" customFormat="1" customHeight="1" ht="19.95">
      <c r="A38" s="989"/>
      <c r="C38" s="1638"/>
      <c r="D38" s="577"/>
      <c r="E38" s="1666" t="s">
        <v>91</v>
      </c>
      <c r="F38" s="709" t="s">
        <v>752</v>
      </c>
      <c r="G38" s="1645" t="s">
        <v>552</v>
      </c>
      <c r="H38" s="559"/>
      <c r="I38" s="559"/>
      <c r="J38" s="291" t="s">
        <v>753</v>
      </c>
      <c r="K38" s="545"/>
      <c r="L38" s="1638"/>
      <c r="M38" s="1638"/>
      <c r="R38" s="1638"/>
      <c r="U38" s="546"/>
      <c r="AA38" s="1634"/>
      <c r="AB38" s="1634"/>
      <c r="AC38" s="1634"/>
      <c r="AD38" s="1634"/>
      <c r="AE38" s="1634"/>
      <c r="AF38" s="1162">
        <v>19</v>
      </c>
    </row>
    <row s="1368" customFormat="1" customHeight="1" ht="24">
      <c r="A39" s="989"/>
      <c r="C39" s="1638"/>
      <c r="D39" s="577"/>
      <c r="E39" s="1666" t="s">
        <v>754</v>
      </c>
      <c r="F39" s="956" t="s">
        <v>755</v>
      </c>
      <c r="G39" s="1656" t="s">
        <v>552</v>
      </c>
      <c r="H39" s="559"/>
      <c r="I39" s="559"/>
      <c r="J39" s="291" t="s">
        <v>756</v>
      </c>
      <c r="K39" s="545"/>
      <c r="L39" s="1638"/>
      <c r="M39" s="1638"/>
      <c r="R39" s="1638"/>
      <c r="U39" s="546"/>
      <c r="AA39" s="1634"/>
      <c r="AB39" s="1634"/>
      <c r="AC39" s="1634"/>
      <c r="AD39" s="1634"/>
      <c r="AE39" s="1634"/>
      <c r="AF39" s="1162">
        <v>23</v>
      </c>
    </row>
    <row s="1368" customFormat="1" customHeight="1" ht="24">
      <c r="A40" s="989"/>
      <c r="C40" s="1638"/>
      <c r="D40" s="1640"/>
      <c r="E40" s="1666" t="s">
        <v>757</v>
      </c>
      <c r="F40" s="1652" t="s">
        <v>758</v>
      </c>
      <c r="G40" s="1645" t="s">
        <v>552</v>
      </c>
      <c r="H40" s="559"/>
      <c r="I40" s="559"/>
      <c r="J40" s="291" t="s">
        <v>759</v>
      </c>
      <c r="K40" s="545"/>
      <c r="L40" s="1638"/>
      <c r="M40" s="1638"/>
      <c r="R40" s="1638"/>
      <c r="U40" s="546"/>
      <c r="AA40" s="1634"/>
      <c r="AB40" s="1634"/>
      <c r="AC40" s="1634"/>
      <c r="AD40" s="1634"/>
      <c r="AE40" s="1634"/>
      <c r="AF40" s="1162">
        <v>23</v>
      </c>
    </row>
    <row s="1368" customFormat="1" customHeight="1" ht="24">
      <c r="A41" s="989"/>
      <c r="C41" s="1638"/>
      <c r="D41" s="1640"/>
      <c r="E41" s="1666" t="s">
        <v>760</v>
      </c>
      <c r="F41" s="1652" t="s">
        <v>761</v>
      </c>
      <c r="G41" s="1645" t="s">
        <v>552</v>
      </c>
      <c r="H41" s="559"/>
      <c r="I41" s="559"/>
      <c r="J41" s="291" t="s">
        <v>762</v>
      </c>
      <c r="K41" s="545"/>
      <c r="L41" s="1638"/>
      <c r="M41" s="1638"/>
      <c r="R41" s="1638"/>
      <c r="U41" s="546"/>
      <c r="AA41" s="1634"/>
      <c r="AB41" s="1634"/>
      <c r="AC41" s="1634"/>
      <c r="AD41" s="1634"/>
      <c r="AE41" s="1634"/>
      <c r="AF41" s="1162">
        <v>23</v>
      </c>
    </row>
    <row s="1368" customFormat="1" customHeight="1" ht="24">
      <c r="A42" s="989"/>
      <c r="C42" s="1638"/>
      <c r="D42" s="1640"/>
      <c r="E42" s="1666" t="s">
        <v>763</v>
      </c>
      <c r="F42" s="1652" t="s">
        <v>764</v>
      </c>
      <c r="G42" s="1645" t="s">
        <v>552</v>
      </c>
      <c r="H42" s="559"/>
      <c r="I42" s="559"/>
      <c r="J42" s="291" t="s">
        <v>765</v>
      </c>
      <c r="K42" s="545"/>
      <c r="L42" s="1638"/>
      <c r="M42" s="1638"/>
      <c r="R42" s="1638"/>
      <c r="U42" s="546"/>
      <c r="AA42" s="1634"/>
      <c r="AB42" s="1634"/>
      <c r="AC42" s="1634"/>
      <c r="AD42" s="1634"/>
      <c r="AE42" s="1634"/>
      <c r="AF42" s="1162">
        <v>23</v>
      </c>
    </row>
    <row s="1368" customFormat="1" customHeight="1" ht="35.699999999999996">
      <c r="A43" s="989"/>
      <c r="C43" s="1638" t="s">
        <v>588</v>
      </c>
      <c r="D43" s="1640"/>
      <c r="E43" s="1666" t="s">
        <v>111</v>
      </c>
      <c r="F43" s="709" t="s">
        <v>629</v>
      </c>
      <c r="G43" s="1648" t="s">
        <v>766</v>
      </c>
      <c r="H43" s="403"/>
      <c r="I43" s="403"/>
      <c r="J43" s="291" t="s">
        <v>767</v>
      </c>
      <c r="K43" s="545"/>
      <c r="L43" s="1638"/>
      <c r="M43" s="1638"/>
      <c r="R43" s="1638"/>
      <c r="U43" s="546"/>
      <c r="AA43" s="1634"/>
      <c r="AB43" s="1634"/>
      <c r="AC43" s="1634"/>
      <c r="AD43" s="1634"/>
      <c r="AE43" s="1634"/>
      <c r="AF43" s="1162">
        <v>34</v>
      </c>
    </row>
    <row s="1368" customFormat="1" customHeight="1" ht="35.699999999999996">
      <c r="A44" s="989"/>
      <c r="C44" s="1638"/>
      <c r="D44" s="1640"/>
      <c r="E44" s="1666" t="s">
        <v>92</v>
      </c>
      <c r="F44" s="709" t="s">
        <v>768</v>
      </c>
      <c r="G44" s="1645" t="s">
        <v>769</v>
      </c>
      <c r="H44" s="547"/>
      <c r="I44" s="547"/>
      <c r="J44" s="291" t="s">
        <v>770</v>
      </c>
      <c r="K44" s="545"/>
      <c r="L44" s="1638"/>
      <c r="M44" s="1638"/>
      <c r="R44" s="1638"/>
      <c r="U44" s="546"/>
      <c r="AA44" s="1634"/>
      <c r="AB44" s="1634"/>
      <c r="AC44" s="1634"/>
      <c r="AD44" s="1634"/>
      <c r="AE44" s="1634"/>
      <c r="AF44" s="1162">
        <v>34</v>
      </c>
    </row>
    <row s="1368" customFormat="1" customHeight="1" ht="24">
      <c r="A45" s="989"/>
      <c r="C45" s="1638"/>
      <c r="D45" s="1640"/>
      <c r="E45" s="1666" t="s">
        <v>93</v>
      </c>
      <c r="F45" s="709" t="s">
        <v>771</v>
      </c>
      <c r="G45" s="1656" t="s">
        <v>772</v>
      </c>
      <c r="H45" s="547"/>
      <c r="I45" s="547"/>
      <c r="J45" s="291" t="s">
        <v>773</v>
      </c>
      <c r="K45" s="545"/>
      <c r="L45" s="1638"/>
      <c r="M45" s="1638"/>
      <c r="R45" s="1638"/>
      <c r="U45" s="546"/>
      <c r="AA45" s="1634"/>
      <c r="AB45" s="1634"/>
      <c r="AC45" s="1634"/>
      <c r="AD45" s="1634"/>
      <c r="AE45" s="1634"/>
      <c r="AF45" s="1162">
        <v>23</v>
      </c>
    </row>
    <row s="1368" customFormat="1" customHeight="1" ht="19.95">
      <c r="A46" s="989"/>
      <c r="C46" s="1638"/>
      <c r="D46" s="1640"/>
      <c r="E46" s="1666" t="s">
        <v>112</v>
      </c>
      <c r="F46" s="709" t="s">
        <v>774</v>
      </c>
      <c r="G46" s="1645" t="s">
        <v>590</v>
      </c>
      <c r="H46" s="579"/>
      <c r="I46" s="579"/>
      <c r="J46" s="291"/>
      <c r="K46" s="545"/>
      <c r="L46" s="1638"/>
      <c r="M46" s="1638"/>
      <c r="R46" s="1638"/>
      <c r="U46" s="546"/>
      <c r="AA46" s="1634"/>
      <c r="AB46" s="1634"/>
      <c r="AC46" s="1634"/>
      <c r="AD46" s="1634"/>
      <c r="AE46" s="1634"/>
      <c r="AF46" s="1162">
        <v>19</v>
      </c>
    </row>
    <row customHeight="1" ht="11.549999999999999">
      <c r="D47" s="1640"/>
      <c r="AF47" s="163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H50" s="568"/>
      <c r="I50" s="568"/>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customHeight="1" ht="11.549999999999999">
      <c r="AF203" s="1633">
        <v>11</v>
      </c>
    </row>
    <row customHeight="1" ht="11.549999999999999">
      <c r="AF204" s="1633">
        <v>11</v>
      </c>
    </row>
    <row customHeight="1" ht="11.549999999999999">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549999999999999">
      <c r="A210" s="992"/>
      <c r="B210" s="1633"/>
      <c r="D210" s="1633"/>
      <c r="K210" s="1633"/>
      <c r="N210" s="1633"/>
      <c r="O210" s="1633"/>
      <c r="P210" s="1633"/>
      <c r="Q210" s="1633"/>
      <c r="S210" s="1633"/>
      <c r="T210" s="1633"/>
      <c r="U210" s="1633"/>
      <c r="V210" s="1633"/>
      <c r="W210" s="1633"/>
      <c r="X210" s="1633"/>
      <c r="Y210" s="1633"/>
      <c r="Z210" s="1633"/>
      <c r="AA210" s="1633"/>
      <c r="AB210" s="1633"/>
      <c r="AC210" s="1633"/>
      <c r="AD210" s="1633"/>
      <c r="AE210" s="1633"/>
      <c r="AF210" s="1633">
        <v>11</v>
      </c>
    </row>
    <row customHeight="1" ht="11.549999999999999">
      <c r="A211" s="992"/>
      <c r="B211" s="1633"/>
      <c r="D211" s="1633"/>
      <c r="K211" s="1633"/>
      <c r="N211" s="1633"/>
      <c r="O211" s="1633"/>
      <c r="P211" s="1633"/>
      <c r="Q211" s="1633"/>
      <c r="S211" s="1633"/>
      <c r="T211" s="1633"/>
      <c r="U211" s="1633"/>
      <c r="V211" s="1633"/>
      <c r="W211" s="1633"/>
      <c r="X211" s="1633"/>
      <c r="Y211" s="1633"/>
      <c r="Z211" s="1633"/>
      <c r="AA211" s="1633"/>
      <c r="AB211" s="1633"/>
      <c r="AC211" s="1633"/>
      <c r="AD211" s="1633"/>
      <c r="AE211" s="1633"/>
      <c r="AF211" s="1633">
        <v>11</v>
      </c>
    </row>
    <row customHeight="1" ht="11.549999999999999">
      <c r="A212" s="992"/>
      <c r="B212" s="1633"/>
      <c r="D212" s="1633"/>
      <c r="K212" s="1633"/>
      <c r="N212" s="1633"/>
      <c r="O212" s="1633"/>
      <c r="P212" s="1633"/>
      <c r="Q212" s="1633"/>
      <c r="S212" s="1633"/>
      <c r="T212" s="1633"/>
      <c r="U212" s="1633"/>
      <c r="V212" s="1633"/>
      <c r="W212" s="1633"/>
      <c r="X212" s="1633"/>
      <c r="Y212" s="1633"/>
      <c r="Z212" s="1633"/>
      <c r="AA212" s="1633"/>
      <c r="AB212" s="1633"/>
      <c r="AC212" s="1633"/>
      <c r="AD212" s="1633"/>
      <c r="AE212" s="1633"/>
      <c r="AF212" s="1633">
        <v>11</v>
      </c>
    </row>
    <row customHeight="1" ht="11.549999999999999">
      <c r="A213" s="992"/>
      <c r="B213" s="1633"/>
      <c r="D213" s="1633"/>
      <c r="K213" s="1633"/>
      <c r="N213" s="1633"/>
      <c r="O213" s="1633"/>
      <c r="P213" s="1633"/>
      <c r="Q213" s="1633"/>
      <c r="S213" s="1633"/>
      <c r="T213" s="1633"/>
      <c r="U213" s="1633"/>
      <c r="V213" s="1633"/>
      <c r="W213" s="1633"/>
      <c r="X213" s="1633"/>
      <c r="Y213" s="1633"/>
      <c r="Z213" s="1633"/>
      <c r="AA213" s="1633"/>
      <c r="AB213" s="1633"/>
      <c r="AC213" s="1633"/>
      <c r="AD213" s="1633"/>
      <c r="AE213" s="1633"/>
      <c r="AF213" s="1633">
        <v>11</v>
      </c>
    </row>
    <row customHeight="1" ht="11.549999999999999">
      <c r="A214" s="992"/>
      <c r="B214" s="1633"/>
      <c r="D214" s="1633"/>
      <c r="K214" s="1633"/>
      <c r="N214" s="1633"/>
      <c r="O214" s="1633"/>
      <c r="P214" s="1633"/>
      <c r="Q214" s="1633"/>
      <c r="S214" s="1633"/>
      <c r="T214" s="1633"/>
      <c r="U214" s="1633"/>
      <c r="V214" s="1633"/>
      <c r="W214" s="1633"/>
      <c r="X214" s="1633"/>
      <c r="Y214" s="1633"/>
      <c r="Z214" s="1633"/>
      <c r="AA214" s="1633"/>
      <c r="AB214" s="1633"/>
      <c r="AC214" s="1633"/>
      <c r="AD214" s="1633"/>
      <c r="AE214" s="1633"/>
      <c r="AF214" s="1633">
        <v>11</v>
      </c>
    </row>
    <row customHeight="1" ht="11.549999999999999">
      <c r="A215" s="992"/>
      <c r="B215" s="1633"/>
      <c r="D215" s="1633"/>
      <c r="K215" s="1633"/>
      <c r="N215" s="1633"/>
      <c r="O215" s="1633"/>
      <c r="P215" s="1633"/>
      <c r="Q215" s="1633"/>
      <c r="S215" s="1633"/>
      <c r="T215" s="1633"/>
      <c r="U215" s="1633"/>
      <c r="V215" s="1633"/>
      <c r="W215" s="1633"/>
      <c r="X215" s="1633"/>
      <c r="Y215" s="1633"/>
      <c r="Z215" s="1633"/>
      <c r="AA215" s="1633"/>
      <c r="AB215" s="1633"/>
      <c r="AC215" s="1633"/>
      <c r="AD215" s="1633"/>
      <c r="AE215" s="1633"/>
      <c r="AF215" s="1633">
        <v>11</v>
      </c>
    </row>
    <row customHeight="1" ht="11.549999999999999">
      <c r="A216" s="992"/>
      <c r="B216" s="1633"/>
      <c r="D216" s="1633"/>
      <c r="K216" s="1633"/>
      <c r="N216" s="1633"/>
      <c r="O216" s="1633"/>
      <c r="P216" s="1633"/>
      <c r="Q216" s="1633"/>
      <c r="S216" s="1633"/>
      <c r="T216" s="1633"/>
      <c r="U216" s="1633"/>
      <c r="V216" s="1633"/>
      <c r="W216" s="1633"/>
      <c r="X216" s="1633"/>
      <c r="Y216" s="1633"/>
      <c r="Z216" s="1633"/>
      <c r="AA216" s="1633"/>
      <c r="AB216" s="1633"/>
      <c r="AC216" s="1633"/>
      <c r="AD216" s="1633"/>
      <c r="AE216" s="1633"/>
      <c r="AF216" s="1633">
        <v>11</v>
      </c>
    </row>
    <row customHeight="1" ht="11.25" hidden="1">
      <c r="A217" s="989" t="s">
        <v>82</v>
      </c>
      <c r="B217" s="1162">
        <v>0</v>
      </c>
      <c r="C217" s="1638">
        <v>0</v>
      </c>
      <c r="D217" s="1637">
        <v>3</v>
      </c>
      <c r="E217" s="1633">
        <v>7</v>
      </c>
      <c r="F217" s="1633">
        <v>56</v>
      </c>
      <c r="G217" s="1633">
        <v>10</v>
      </c>
      <c r="H217" s="1633">
        <v>0</v>
      </c>
      <c r="I217" s="1633">
        <v>40</v>
      </c>
      <c r="J217" s="1633">
        <v>102</v>
      </c>
      <c r="K217" s="1162">
        <v>9</v>
      </c>
      <c r="L217" s="1638">
        <v>5</v>
      </c>
      <c r="M217" s="1638">
        <v>3</v>
      </c>
      <c r="N217" s="1162">
        <v>3</v>
      </c>
      <c r="O217" s="1162">
        <v>3</v>
      </c>
      <c r="P217" s="1162">
        <v>3</v>
      </c>
      <c r="Q217" s="1162">
        <v>3</v>
      </c>
      <c r="R217" s="1638">
        <v>10</v>
      </c>
      <c r="S217" s="1162">
        <v>34</v>
      </c>
      <c r="T217" s="1162">
        <v>9</v>
      </c>
      <c r="U217" s="546">
        <v>8</v>
      </c>
      <c r="V217" s="1162">
        <v>8</v>
      </c>
      <c r="W217" s="1162">
        <v>8</v>
      </c>
      <c r="X217" s="1162">
        <v>8</v>
      </c>
      <c r="Y217" s="1162">
        <v>8</v>
      </c>
      <c r="Z217" s="1162">
        <v>8</v>
      </c>
      <c r="AA217" s="1634">
        <v>8</v>
      </c>
      <c r="AB217" s="1634">
        <v>8</v>
      </c>
      <c r="AC217" s="1634">
        <v>8</v>
      </c>
      <c r="AD217" s="1634">
        <v>8</v>
      </c>
      <c r="AE217" s="1634">
        <v>8</v>
      </c>
      <c r="AF217" s="1633">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8D6382-B6AA-C385-EE28-FE0392839B9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60"/>
      <c r="F2" s="542"/>
      <c r="G2" s="1659" t="s">
        <v>552</v>
      </c>
      <c r="H2" s="543"/>
      <c r="I2" s="543"/>
      <c r="J2" s="544" t="s">
        <v>555</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3.75">
      <c r="E6" s="2250" t="s">
        <v>775</v>
      </c>
      <c r="F6" s="2250"/>
      <c r="G6" s="2250"/>
      <c r="H6" s="2250"/>
      <c r="I6" s="2250"/>
      <c r="J6" s="558"/>
      <c r="AF6" s="1633">
        <v>32</v>
      </c>
    </row>
    <row customHeight="1" ht="25.2">
      <c r="E7" s="2251" t="str">
        <f>IF(org=0,"Не определено",org)</f>
        <v>ПАО "ТГК-2"</v>
      </c>
      <c r="F7" s="2251"/>
      <c r="G7" s="2251"/>
      <c r="H7" s="2251"/>
      <c r="I7" s="2251"/>
      <c r="AF7" s="1633">
        <v>24</v>
      </c>
    </row>
    <row customHeight="1" ht="11.549999999999999">
      <c r="E8" s="1137"/>
      <c r="F8" s="1137"/>
      <c r="G8" s="1137"/>
      <c r="H8" s="1137"/>
      <c r="I8" s="1137"/>
      <c r="AF8" s="1633">
        <v>11</v>
      </c>
    </row>
    <row s="1644" customFormat="1" customHeight="1" ht="1.05">
      <c r="A9" s="1169"/>
      <c r="D9" s="1644"/>
      <c r="H9" s="891"/>
      <c r="I9" s="891" t="s">
        <v>118</v>
      </c>
      <c r="AF9" s="1638">
        <v>1</v>
      </c>
    </row>
    <row customHeight="1" ht="11.549999999999999">
      <c r="E10" s="713"/>
      <c r="F10" s="2369" t="s">
        <v>105</v>
      </c>
      <c r="G10" s="2370"/>
      <c r="H10" s="1661" t="str">
        <f>IF(H9="","",INDEX(DIFFERENTIATION_UNMERGE_VD,MATCH(H9,DIFFERENTIATION_ID_DIFF,0)))</f>
        <v/>
      </c>
      <c r="I10" s="1661" t="str">
        <f>IF(I9="","",INDEX(DIFFERENTIATION_UNMERGE_VD,MATCH(I9,DIFFERENTIATION_ID_DIFF,0)))</f>
        <v>Подключение (технологическое присоединение) к системе теплоснабжения</v>
      </c>
      <c r="J10" s="2129"/>
      <c r="AF10" s="1633">
        <v>11</v>
      </c>
    </row>
    <row customHeight="1" ht="11.549999999999999">
      <c r="E11" s="713"/>
      <c r="F11" s="2369" t="s">
        <v>564</v>
      </c>
      <c r="G11" s="2370"/>
      <c r="H11" s="1661" t="str">
        <f>IF(H9="","",INDEX(DIFFERENTIATION_UNMERGE_AREA,MATCH(H9,DIFFERENTIATION_ID_DIFF,0)))</f>
        <v/>
      </c>
      <c r="I11" s="1661" t="str">
        <f>IF(I9="","",INDEX(DIFFERENTIATION_UNMERGE_AREA,MATCH(I9,DIFFERENTIATION_ID_DIFF,0)))</f>
        <v>Территория 1</v>
      </c>
      <c r="J11" s="2129"/>
      <c r="AF11" s="1633">
        <v>11</v>
      </c>
    </row>
    <row customHeight="1" ht="11.25" hidden="1">
      <c r="E12" s="1664"/>
      <c r="F12" s="2392" t="s">
        <v>565</v>
      </c>
      <c r="G12" s="2393"/>
      <c r="H12" s="1665" t="str">
        <f>IF(H9="","",INDEX(DIFFERENTIATION_UNMERGE_SYSTEM,MATCH(H9,DIFFERENTIATION_ID_DIFF,0)))</f>
        <v/>
      </c>
      <c r="I12" s="1665" t="str">
        <f>IF(I9="","",INDEX(DIFFERENTIATION_UNMERGE_SYSTEM,MATCH(I9,DIFFERENTIATION_ID_DIFF,0)))</f>
        <v>Вологодская ТЭЦ</v>
      </c>
      <c r="J12" s="2129"/>
      <c r="AF12" s="1633">
        <v>0</v>
      </c>
    </row>
    <row customHeight="1" ht="11.549999999999999">
      <c r="E13" s="2371" t="s">
        <v>300</v>
      </c>
      <c r="F13" s="2372"/>
      <c r="G13" s="2372"/>
      <c r="H13" s="1658"/>
      <c r="I13" s="1658"/>
      <c r="J13" s="2129"/>
      <c r="AF13" s="1633">
        <v>11</v>
      </c>
    </row>
    <row customHeight="1" ht="24">
      <c r="E14" s="1659" t="s">
        <v>88</v>
      </c>
      <c r="F14" s="1662" t="s">
        <v>302</v>
      </c>
      <c r="G14" s="1662" t="s">
        <v>566</v>
      </c>
      <c r="H14" s="1662" t="s">
        <v>303</v>
      </c>
      <c r="I14" s="1662" t="s">
        <v>303</v>
      </c>
      <c r="J14" s="2129"/>
      <c r="AF14" s="1633">
        <v>23</v>
      </c>
    </row>
    <row customHeight="1" ht="19.95">
      <c r="D15" s="1640"/>
      <c r="E15" s="1632" t="s">
        <v>109</v>
      </c>
      <c r="F15" s="709" t="s">
        <v>776</v>
      </c>
      <c r="G15" s="1659" t="s">
        <v>552</v>
      </c>
      <c r="H15" s="559"/>
      <c r="I15" s="559"/>
      <c r="J15" s="291" t="s">
        <v>777</v>
      </c>
      <c r="K15" s="545" t="s">
        <v>630</v>
      </c>
      <c r="AF15" s="1633">
        <v>19</v>
      </c>
    </row>
    <row customHeight="1" ht="24">
      <c r="D16" s="1640"/>
      <c r="E16" s="1632" t="s">
        <v>110</v>
      </c>
      <c r="F16" s="1667" t="s">
        <v>778</v>
      </c>
      <c r="G16" s="1659" t="s">
        <v>552</v>
      </c>
      <c r="H16" s="560">
        <f>SUM(H17,H20:H27)</f>
        <v>0</v>
      </c>
      <c r="I16" s="560">
        <f>SUM(I17,I20:I27)</f>
        <v>0</v>
      </c>
      <c r="J16" s="291" t="s">
        <v>779</v>
      </c>
      <c r="K16" s="545" t="s">
        <v>630</v>
      </c>
      <c r="AF16" s="1633">
        <v>23</v>
      </c>
    </row>
    <row customHeight="1" ht="35.699999999999996">
      <c r="D17" s="1640"/>
      <c r="E17" s="1666" t="s">
        <v>709</v>
      </c>
      <c r="F17" s="1669" t="s">
        <v>780</v>
      </c>
      <c r="G17" s="1656" t="s">
        <v>552</v>
      </c>
      <c r="H17" s="559"/>
      <c r="I17" s="559"/>
      <c r="J17" s="291" t="s">
        <v>781</v>
      </c>
      <c r="K17" s="545"/>
      <c r="AF17" s="1633">
        <v>34</v>
      </c>
    </row>
    <row customHeight="1" ht="19.95">
      <c r="D18" s="1640"/>
      <c r="E18" s="1666" t="s">
        <v>712</v>
      </c>
      <c r="F18" s="1670" t="s">
        <v>782</v>
      </c>
      <c r="G18" s="1656" t="s">
        <v>552</v>
      </c>
      <c r="H18" s="559"/>
      <c r="I18" s="559"/>
      <c r="J18" s="291"/>
      <c r="K18" s="545"/>
      <c r="AF18" s="1633">
        <v>19</v>
      </c>
    </row>
    <row customHeight="1" ht="24">
      <c r="D19" s="1640"/>
      <c r="E19" s="1666" t="s">
        <v>715</v>
      </c>
      <c r="F19" s="1670" t="s">
        <v>783</v>
      </c>
      <c r="G19" s="1656" t="s">
        <v>552</v>
      </c>
      <c r="H19" s="559"/>
      <c r="I19" s="559"/>
      <c r="J19" s="291"/>
      <c r="K19" s="545"/>
      <c r="AF19" s="1633">
        <v>23</v>
      </c>
    </row>
    <row customHeight="1" ht="35.699999999999996">
      <c r="D20" s="1640"/>
      <c r="E20" s="1666" t="s">
        <v>307</v>
      </c>
      <c r="F20" s="1669" t="s">
        <v>784</v>
      </c>
      <c r="G20" s="1656" t="s">
        <v>552</v>
      </c>
      <c r="H20" s="559"/>
      <c r="I20" s="559"/>
      <c r="J20" s="291"/>
      <c r="K20" s="545"/>
      <c r="AF20" s="1633">
        <v>34</v>
      </c>
    </row>
    <row customHeight="1" ht="48.29999999999999">
      <c r="D21" s="1640"/>
      <c r="E21" s="1666" t="s">
        <v>310</v>
      </c>
      <c r="F21" s="1669" t="s">
        <v>785</v>
      </c>
      <c r="G21" s="1656" t="s">
        <v>552</v>
      </c>
      <c r="H21" s="559"/>
      <c r="I21" s="559"/>
      <c r="J21" s="291"/>
      <c r="K21" s="545"/>
      <c r="AF21" s="1633">
        <v>46</v>
      </c>
    </row>
    <row customHeight="1" ht="60">
      <c r="D22" s="1640"/>
      <c r="E22" s="1666" t="s">
        <v>729</v>
      </c>
      <c r="F22" s="1669" t="s">
        <v>786</v>
      </c>
      <c r="G22" s="1656" t="s">
        <v>552</v>
      </c>
      <c r="H22" s="559"/>
      <c r="I22" s="559"/>
      <c r="J22" s="291"/>
      <c r="K22" s="545"/>
      <c r="AF22" s="1633">
        <v>57</v>
      </c>
    </row>
    <row customHeight="1" ht="35.699999999999996">
      <c r="D23" s="1640"/>
      <c r="E23" s="1666" t="s">
        <v>736</v>
      </c>
      <c r="F23" s="1669" t="s">
        <v>787</v>
      </c>
      <c r="G23" s="1656" t="s">
        <v>552</v>
      </c>
      <c r="H23" s="559"/>
      <c r="I23" s="559"/>
      <c r="J23" s="291"/>
      <c r="K23" s="545"/>
      <c r="AF23" s="1633">
        <v>34</v>
      </c>
    </row>
    <row customHeight="1" ht="35.699999999999996">
      <c r="D24" s="1640"/>
      <c r="E24" s="1666" t="s">
        <v>738</v>
      </c>
      <c r="F24" s="1669" t="s">
        <v>788</v>
      </c>
      <c r="G24" s="1656" t="s">
        <v>552</v>
      </c>
      <c r="H24" s="559"/>
      <c r="I24" s="559"/>
      <c r="J24" s="291"/>
      <c r="K24" s="545"/>
      <c r="AF24" s="1633">
        <v>34</v>
      </c>
    </row>
    <row customHeight="1" ht="24">
      <c r="D25" s="1640"/>
      <c r="E25" s="1666" t="s">
        <v>740</v>
      </c>
      <c r="F25" s="1669" t="s">
        <v>789</v>
      </c>
      <c r="G25" s="1656" t="s">
        <v>552</v>
      </c>
      <c r="H25" s="559"/>
      <c r="I25" s="559"/>
      <c r="J25" s="291"/>
      <c r="K25" s="545"/>
      <c r="AF25" s="1633">
        <v>23</v>
      </c>
    </row>
    <row customHeight="1" ht="76.5">
      <c r="D26" s="1640"/>
      <c r="E26" s="1666" t="s">
        <v>742</v>
      </c>
      <c r="F26" s="1669" t="s">
        <v>790</v>
      </c>
      <c r="G26" s="1656" t="s">
        <v>552</v>
      </c>
      <c r="H26" s="559"/>
      <c r="I26" s="559"/>
      <c r="J26" s="291"/>
      <c r="K26" s="545"/>
      <c r="AF26" s="1633">
        <v>73</v>
      </c>
    </row>
    <row s="1368" customFormat="1" customHeight="1" ht="35.699999999999996">
      <c r="A27" s="989"/>
      <c r="C27" s="1638"/>
      <c r="D27" s="1640"/>
      <c r="E27" s="1631" t="s">
        <v>746</v>
      </c>
      <c r="F27" s="1630" t="s">
        <v>791</v>
      </c>
      <c r="G27" s="1657" t="s">
        <v>552</v>
      </c>
      <c r="H27" s="581">
        <f>SUM(H28:H29)</f>
        <v>0</v>
      </c>
      <c r="I27" s="581">
        <f>SUM(I28:I29)</f>
        <v>0</v>
      </c>
      <c r="J27" s="291" t="s">
        <v>744</v>
      </c>
      <c r="K27" s="545"/>
      <c r="L27" s="1638"/>
      <c r="M27" s="1638"/>
      <c r="R27" s="1638"/>
      <c r="U27" s="546"/>
      <c r="AA27" s="1634"/>
      <c r="AB27" s="1634"/>
      <c r="AC27" s="1634"/>
      <c r="AD27" s="1634"/>
      <c r="AE27" s="1634"/>
      <c r="AF27" s="1162">
        <v>34</v>
      </c>
    </row>
    <row s="1644" customFormat="1" customHeight="1" ht="1.05">
      <c r="A28" s="1169"/>
      <c r="D28" s="550"/>
      <c r="E28" s="804" t="str">
        <f>E27&amp;".0"</f>
        <v>2.9.0</v>
      </c>
      <c r="F28" s="993"/>
      <c r="G28" s="553"/>
      <c r="H28" s="994"/>
      <c r="I28" s="994"/>
      <c r="J28" s="995"/>
      <c r="AF28" s="1638">
        <v>1</v>
      </c>
    </row>
    <row s="1368" customFormat="1" customHeight="1" ht="19.95">
      <c r="A29" s="989"/>
      <c r="C29" s="1638"/>
      <c r="D29" s="1635"/>
      <c r="E29" s="572"/>
      <c r="F29" s="1668" t="s">
        <v>577</v>
      </c>
      <c r="G29" s="574"/>
      <c r="H29" s="575"/>
      <c r="I29" s="575"/>
      <c r="J29" s="303" t="s">
        <v>745</v>
      </c>
      <c r="K29" s="545"/>
      <c r="L29" s="1638"/>
      <c r="M29" s="1638"/>
      <c r="R29" s="1638"/>
      <c r="U29" s="546"/>
      <c r="AA29" s="1634"/>
      <c r="AB29" s="1634"/>
      <c r="AC29" s="1634"/>
      <c r="AD29" s="1634"/>
      <c r="AE29" s="1634"/>
      <c r="AF29" s="1162">
        <v>19</v>
      </c>
    </row>
    <row s="1368" customFormat="1" customHeight="1" ht="24">
      <c r="A30" s="989"/>
      <c r="C30" s="1638"/>
      <c r="D30" s="1640"/>
      <c r="E30" s="1666" t="s">
        <v>90</v>
      </c>
      <c r="F30" s="1663" t="s">
        <v>792</v>
      </c>
      <c r="G30" s="1656" t="s">
        <v>552</v>
      </c>
      <c r="H30" s="559"/>
      <c r="I30" s="559"/>
      <c r="J30" s="291"/>
      <c r="K30" s="545"/>
      <c r="L30" s="1638"/>
      <c r="M30" s="1638"/>
      <c r="R30" s="1638"/>
      <c r="U30" s="546"/>
      <c r="AA30" s="1634"/>
      <c r="AB30" s="1634"/>
      <c r="AC30" s="1634"/>
      <c r="AD30" s="1634"/>
      <c r="AE30" s="1634"/>
      <c r="AF30" s="1162">
        <v>23</v>
      </c>
    </row>
    <row s="1368" customFormat="1" customHeight="1" ht="35.699999999999996">
      <c r="A31" s="989"/>
      <c r="C31" s="1638"/>
      <c r="D31" s="577"/>
      <c r="E31" s="1666" t="s">
        <v>91</v>
      </c>
      <c r="F31" s="1663" t="s">
        <v>793</v>
      </c>
      <c r="G31" s="1656" t="s">
        <v>552</v>
      </c>
      <c r="H31" s="559"/>
      <c r="I31" s="559"/>
      <c r="J31" s="291" t="s">
        <v>794</v>
      </c>
      <c r="K31" s="545"/>
      <c r="L31" s="1638"/>
      <c r="M31" s="1638"/>
      <c r="R31" s="1638"/>
      <c r="U31" s="546"/>
      <c r="AA31" s="1634"/>
      <c r="AB31" s="1634"/>
      <c r="AC31" s="1634"/>
      <c r="AD31" s="1634"/>
      <c r="AE31" s="1634"/>
      <c r="AF31" s="1162">
        <v>34</v>
      </c>
    </row>
    <row s="1368" customFormat="1" customHeight="1" ht="24">
      <c r="A32" s="989"/>
      <c r="C32" s="1638"/>
      <c r="D32" s="1640"/>
      <c r="E32" s="1666" t="s">
        <v>754</v>
      </c>
      <c r="F32" s="692" t="s">
        <v>758</v>
      </c>
      <c r="G32" s="1656" t="s">
        <v>552</v>
      </c>
      <c r="H32" s="559"/>
      <c r="I32" s="559"/>
      <c r="J32" s="291" t="s">
        <v>795</v>
      </c>
      <c r="K32" s="545"/>
      <c r="L32" s="1638"/>
      <c r="M32" s="1638"/>
      <c r="R32" s="1638"/>
      <c r="U32" s="546"/>
      <c r="AA32" s="1634"/>
      <c r="AB32" s="1634"/>
      <c r="AC32" s="1634"/>
      <c r="AD32" s="1634"/>
      <c r="AE32" s="1634"/>
      <c r="AF32" s="1162">
        <v>23</v>
      </c>
    </row>
    <row s="1368" customFormat="1" customHeight="1" ht="24">
      <c r="A33" s="989"/>
      <c r="C33" s="1638"/>
      <c r="D33" s="1640"/>
      <c r="E33" s="1666" t="s">
        <v>796</v>
      </c>
      <c r="F33" s="692" t="s">
        <v>797</v>
      </c>
      <c r="G33" s="1656" t="s">
        <v>552</v>
      </c>
      <c r="H33" s="559"/>
      <c r="I33" s="559"/>
      <c r="J33" s="291" t="s">
        <v>798</v>
      </c>
      <c r="K33" s="545"/>
      <c r="L33" s="1638"/>
      <c r="M33" s="1638"/>
      <c r="R33" s="1638"/>
      <c r="U33" s="546"/>
      <c r="AA33" s="1634"/>
      <c r="AB33" s="1634"/>
      <c r="AC33" s="1634"/>
      <c r="AD33" s="1634"/>
      <c r="AE33" s="1634"/>
      <c r="AF33" s="1162">
        <v>23</v>
      </c>
    </row>
    <row s="1368" customFormat="1" customHeight="1" ht="24">
      <c r="A34" s="989"/>
      <c r="C34" s="1638"/>
      <c r="D34" s="1640"/>
      <c r="E34" s="1666" t="s">
        <v>799</v>
      </c>
      <c r="F34" s="692" t="s">
        <v>764</v>
      </c>
      <c r="G34" s="1656" t="s">
        <v>552</v>
      </c>
      <c r="H34" s="559"/>
      <c r="I34" s="559"/>
      <c r="J34" s="291" t="s">
        <v>800</v>
      </c>
      <c r="K34" s="545"/>
      <c r="L34" s="1638"/>
      <c r="M34" s="1638"/>
      <c r="R34" s="1638"/>
      <c r="U34" s="546"/>
      <c r="AA34" s="1634"/>
      <c r="AB34" s="1634"/>
      <c r="AC34" s="1634"/>
      <c r="AD34" s="1634"/>
      <c r="AE34" s="1634"/>
      <c r="AF34" s="1162">
        <v>23</v>
      </c>
    </row>
    <row s="1368" customFormat="1" customHeight="1" ht="35.699999999999996">
      <c r="A35" s="989"/>
      <c r="C35" s="1638" t="s">
        <v>588</v>
      </c>
      <c r="D35" s="1640"/>
      <c r="E35" s="1666" t="s">
        <v>111</v>
      </c>
      <c r="F35" s="1663" t="s">
        <v>629</v>
      </c>
      <c r="G35" s="1659" t="s">
        <v>306</v>
      </c>
      <c r="H35" s="403"/>
      <c r="I35" s="403"/>
      <c r="J35" s="291" t="s">
        <v>801</v>
      </c>
      <c r="K35" s="545"/>
      <c r="L35" s="1638"/>
      <c r="M35" s="1638"/>
      <c r="R35" s="1638"/>
      <c r="U35" s="546"/>
      <c r="AA35" s="1634"/>
      <c r="AB35" s="1634"/>
      <c r="AC35" s="1634"/>
      <c r="AD35" s="1634"/>
      <c r="AE35" s="1634"/>
      <c r="AF35" s="1162">
        <v>34</v>
      </c>
    </row>
    <row s="1368" customFormat="1" customHeight="1" ht="35.699999999999996">
      <c r="A36" s="989"/>
      <c r="C36" s="1638"/>
      <c r="D36" s="1640"/>
      <c r="E36" s="1666" t="s">
        <v>92</v>
      </c>
      <c r="F36" s="1663" t="s">
        <v>802</v>
      </c>
      <c r="G36" s="1656" t="s">
        <v>769</v>
      </c>
      <c r="H36" s="547"/>
      <c r="I36" s="547"/>
      <c r="J36" s="291" t="s">
        <v>770</v>
      </c>
      <c r="K36" s="545"/>
      <c r="L36" s="1638"/>
      <c r="M36" s="1638"/>
      <c r="R36" s="1638"/>
      <c r="U36" s="546"/>
      <c r="AA36" s="1634"/>
      <c r="AB36" s="1634"/>
      <c r="AC36" s="1634"/>
      <c r="AD36" s="1634"/>
      <c r="AE36" s="1634"/>
      <c r="AF36" s="1162">
        <v>34</v>
      </c>
    </row>
    <row s="1368" customFormat="1" customHeight="1" ht="24">
      <c r="A37" s="989"/>
      <c r="C37" s="1638"/>
      <c r="D37" s="1640"/>
      <c r="E37" s="1666" t="s">
        <v>93</v>
      </c>
      <c r="F37" s="1663" t="s">
        <v>803</v>
      </c>
      <c r="G37" s="1656" t="s">
        <v>772</v>
      </c>
      <c r="H37" s="547"/>
      <c r="I37" s="547"/>
      <c r="J37" s="291" t="s">
        <v>773</v>
      </c>
      <c r="K37" s="545"/>
      <c r="L37" s="1638"/>
      <c r="M37" s="1638"/>
      <c r="R37" s="1638"/>
      <c r="U37" s="546"/>
      <c r="AA37" s="1634"/>
      <c r="AB37" s="1634"/>
      <c r="AC37" s="1634"/>
      <c r="AD37" s="1634"/>
      <c r="AE37" s="1634"/>
      <c r="AF37" s="1162">
        <v>23</v>
      </c>
    </row>
    <row customHeight="1" ht="11.549999999999999">
      <c r="D38" s="1640"/>
      <c r="AF38" s="1633">
        <v>11</v>
      </c>
    </row>
    <row customHeight="1" ht="27.299999999999997">
      <c r="D39" s="1640"/>
      <c r="E39" s="1255" t="s">
        <v>804</v>
      </c>
      <c r="F39" s="2287" t="s">
        <v>805</v>
      </c>
      <c r="G39" s="2287"/>
      <c r="H39" s="371"/>
      <c r="I39" s="371"/>
      <c r="J39" s="371"/>
      <c r="AF39" s="1633">
        <v>26</v>
      </c>
    </row>
    <row s="1643" customFormat="1" customHeight="1" ht="39.75">
      <c r="A40" s="989"/>
      <c r="B40" s="1638"/>
      <c r="C40" s="1638"/>
      <c r="D40" s="353"/>
      <c r="F40" s="2287" t="s">
        <v>806</v>
      </c>
      <c r="G40" s="2287"/>
      <c r="H40" s="371"/>
      <c r="I40" s="371"/>
      <c r="J40" s="371"/>
      <c r="K40" s="1162"/>
      <c r="L40" s="1638"/>
      <c r="M40" s="1638"/>
      <c r="N40" s="1162"/>
      <c r="O40" s="1162"/>
      <c r="P40" s="1162"/>
      <c r="Q40" s="1162"/>
      <c r="R40" s="1638"/>
      <c r="S40" s="1162"/>
      <c r="T40" s="1162"/>
      <c r="U40" s="546"/>
      <c r="V40" s="1162"/>
      <c r="W40" s="1162"/>
      <c r="X40" s="1162"/>
      <c r="Y40" s="1162"/>
      <c r="Z40" s="1162"/>
      <c r="AA40" s="1634"/>
      <c r="AB40" s="568"/>
      <c r="AC40" s="568"/>
      <c r="AD40" s="568"/>
      <c r="AE40" s="568"/>
      <c r="AF40" s="1643">
        <v>38</v>
      </c>
    </row>
    <row s="1643" customFormat="1" customHeight="1" ht="11.549999999999999">
      <c r="A41" s="989"/>
      <c r="B41" s="1638"/>
      <c r="C41" s="1638"/>
      <c r="D41" s="353"/>
      <c r="K41" s="1162"/>
      <c r="L41" s="1638"/>
      <c r="M41" s="1638"/>
      <c r="N41" s="1162"/>
      <c r="O41" s="1162"/>
      <c r="P41" s="1162"/>
      <c r="Q41" s="1162"/>
      <c r="R41" s="1638"/>
      <c r="S41" s="1162"/>
      <c r="T41" s="1162"/>
      <c r="U41" s="546"/>
      <c r="V41" s="1162"/>
      <c r="W41" s="1162"/>
      <c r="X41" s="1162"/>
      <c r="Y41" s="1162"/>
      <c r="Z41" s="1162"/>
      <c r="AA41" s="1634"/>
      <c r="AB41" s="568"/>
      <c r="AC41" s="568"/>
      <c r="AD41" s="568"/>
      <c r="AE41" s="568"/>
      <c r="AF41" s="1643">
        <v>11</v>
      </c>
    </row>
    <row s="1643" customFormat="1" customHeight="1" ht="11.549999999999999">
      <c r="A42" s="989"/>
      <c r="B42" s="1638"/>
      <c r="C42" s="1638"/>
      <c r="D42" s="353"/>
      <c r="K42" s="1162"/>
      <c r="L42" s="1638"/>
      <c r="M42" s="1638"/>
      <c r="N42" s="1162"/>
      <c r="O42" s="1162"/>
      <c r="P42" s="1162"/>
      <c r="Q42" s="1162"/>
      <c r="R42" s="1638"/>
      <c r="S42" s="1162"/>
      <c r="T42" s="1162"/>
      <c r="U42" s="546"/>
      <c r="V42" s="1162"/>
      <c r="W42" s="1162"/>
      <c r="X42" s="1162"/>
      <c r="Y42" s="1162"/>
      <c r="Z42" s="1162"/>
      <c r="AA42" s="1634"/>
      <c r="AB42" s="568"/>
      <c r="AC42" s="568"/>
      <c r="AD42" s="568"/>
      <c r="AE42" s="568"/>
      <c r="AF42" s="1643">
        <v>11</v>
      </c>
    </row>
    <row s="1643" customFormat="1" customHeight="1" ht="11.549999999999999">
      <c r="A43" s="989"/>
      <c r="B43" s="1638"/>
      <c r="C43" s="1638"/>
      <c r="D43" s="353"/>
      <c r="H43" s="568"/>
      <c r="I43" s="568"/>
      <c r="K43" s="1162"/>
      <c r="L43" s="1638"/>
      <c r="M43" s="1638"/>
      <c r="N43" s="1162"/>
      <c r="O43" s="1162"/>
      <c r="P43" s="1162"/>
      <c r="Q43" s="1162"/>
      <c r="R43" s="1638"/>
      <c r="S43" s="1162"/>
      <c r="T43" s="1162"/>
      <c r="U43" s="546"/>
      <c r="V43" s="1162"/>
      <c r="W43" s="1162"/>
      <c r="X43" s="1162"/>
      <c r="Y43" s="1162"/>
      <c r="Z43" s="1162"/>
      <c r="AA43" s="1634"/>
      <c r="AB43" s="568"/>
      <c r="AC43" s="568"/>
      <c r="AD43" s="568"/>
      <c r="AE43" s="568"/>
      <c r="AF43" s="1643">
        <v>11</v>
      </c>
    </row>
    <row s="1643" customFormat="1" customHeight="1" ht="11.549999999999999">
      <c r="A44" s="989"/>
      <c r="B44" s="1638"/>
      <c r="C44" s="1638"/>
      <c r="D44" s="353"/>
      <c r="K44" s="1162"/>
      <c r="L44" s="1638"/>
      <c r="M44" s="1638"/>
      <c r="N44" s="1162"/>
      <c r="O44" s="1162"/>
      <c r="P44" s="1162"/>
      <c r="Q44" s="1162"/>
      <c r="R44" s="1638"/>
      <c r="S44" s="1162"/>
      <c r="T44" s="1162"/>
      <c r="U44" s="546"/>
      <c r="V44" s="1162"/>
      <c r="W44" s="1162"/>
      <c r="X44" s="1162"/>
      <c r="Y44" s="1162"/>
      <c r="Z44" s="1162"/>
      <c r="AA44" s="1634"/>
      <c r="AB44" s="568"/>
      <c r="AC44" s="568"/>
      <c r="AD44" s="568"/>
      <c r="AE44" s="568"/>
      <c r="AF44" s="1643">
        <v>11</v>
      </c>
    </row>
    <row s="1643" customFormat="1" customHeight="1" ht="11.549999999999999">
      <c r="A45" s="989"/>
      <c r="B45" s="1638"/>
      <c r="C45" s="1638"/>
      <c r="D45" s="353"/>
      <c r="K45" s="1162"/>
      <c r="L45" s="1638"/>
      <c r="M45" s="1638"/>
      <c r="N45" s="1162"/>
      <c r="O45" s="1162"/>
      <c r="P45" s="1162"/>
      <c r="Q45" s="1162"/>
      <c r="R45" s="1638"/>
      <c r="S45" s="1162"/>
      <c r="T45" s="1162"/>
      <c r="U45" s="546"/>
      <c r="V45" s="1162"/>
      <c r="W45" s="1162"/>
      <c r="X45" s="1162"/>
      <c r="Y45" s="1162"/>
      <c r="Z45" s="1162"/>
      <c r="AA45" s="1634"/>
      <c r="AB45" s="568"/>
      <c r="AC45" s="568"/>
      <c r="AD45" s="568"/>
      <c r="AE45" s="568"/>
      <c r="AF45" s="1643">
        <v>11</v>
      </c>
    </row>
    <row s="1643" customFormat="1" customHeight="1" ht="11.549999999999999">
      <c r="A46" s="989"/>
      <c r="B46" s="1638"/>
      <c r="C46" s="1638"/>
      <c r="D46" s="353"/>
      <c r="K46" s="1162"/>
      <c r="L46" s="1638"/>
      <c r="M46" s="1638"/>
      <c r="N46" s="1162"/>
      <c r="O46" s="1162"/>
      <c r="P46" s="1162"/>
      <c r="Q46" s="1162"/>
      <c r="R46" s="1638"/>
      <c r="S46" s="1162"/>
      <c r="T46" s="1162"/>
      <c r="U46" s="546"/>
      <c r="V46" s="1162"/>
      <c r="W46" s="1162"/>
      <c r="X46" s="1162"/>
      <c r="Y46" s="1162"/>
      <c r="Z46" s="1162"/>
      <c r="AA46" s="1634"/>
      <c r="AB46" s="568"/>
      <c r="AC46" s="568"/>
      <c r="AD46" s="568"/>
      <c r="AE46" s="568"/>
      <c r="AF46" s="1643">
        <v>11</v>
      </c>
    </row>
    <row s="1643" customFormat="1" customHeight="1" ht="11.549999999999999">
      <c r="A47" s="989"/>
      <c r="B47" s="1638"/>
      <c r="C47" s="1638"/>
      <c r="D47" s="353"/>
      <c r="K47" s="1162"/>
      <c r="L47" s="1638"/>
      <c r="M47" s="1638"/>
      <c r="N47" s="1162"/>
      <c r="O47" s="1162"/>
      <c r="P47" s="1162"/>
      <c r="Q47" s="1162"/>
      <c r="R47" s="1638"/>
      <c r="S47" s="1162"/>
      <c r="T47" s="1162"/>
      <c r="U47" s="546"/>
      <c r="V47" s="1162"/>
      <c r="W47" s="1162"/>
      <c r="X47" s="1162"/>
      <c r="Y47" s="1162"/>
      <c r="Z47" s="1162"/>
      <c r="AA47" s="1634"/>
      <c r="AB47" s="568"/>
      <c r="AC47" s="568"/>
      <c r="AD47" s="568"/>
      <c r="AE47" s="568"/>
      <c r="AF47" s="164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customHeight="1" ht="11.549999999999999">
      <c r="AF196" s="1633">
        <v>11</v>
      </c>
    </row>
    <row customHeight="1" ht="11.549999999999999">
      <c r="AF197" s="1633">
        <v>11</v>
      </c>
    </row>
    <row customHeight="1" ht="11.549999999999999">
      <c r="AF198" s="1633">
        <v>11</v>
      </c>
    </row>
    <row customHeight="1" ht="11.549999999999999">
      <c r="A199" s="992"/>
      <c r="B199" s="1633"/>
      <c r="D199" s="1633"/>
      <c r="K199" s="1633"/>
      <c r="N199" s="1633"/>
      <c r="O199" s="1633"/>
      <c r="P199" s="1633"/>
      <c r="Q199" s="1633"/>
      <c r="S199" s="1633"/>
      <c r="T199" s="1633"/>
      <c r="U199" s="1633"/>
      <c r="V199" s="1633"/>
      <c r="W199" s="1633"/>
      <c r="X199" s="1633"/>
      <c r="Y199" s="1633"/>
      <c r="Z199" s="1633"/>
      <c r="AA199" s="1633"/>
      <c r="AB199" s="1633"/>
      <c r="AC199" s="1633"/>
      <c r="AD199" s="1633"/>
      <c r="AE199" s="1633"/>
      <c r="AF199" s="1633">
        <v>11</v>
      </c>
    </row>
    <row customHeight="1" ht="11.549999999999999">
      <c r="A200" s="992"/>
      <c r="B200" s="1633"/>
      <c r="D200" s="1633"/>
      <c r="K200" s="1633"/>
      <c r="N200" s="1633"/>
      <c r="O200" s="1633"/>
      <c r="P200" s="1633"/>
      <c r="Q200" s="1633"/>
      <c r="S200" s="1633"/>
      <c r="T200" s="1633"/>
      <c r="U200" s="1633"/>
      <c r="V200" s="1633"/>
      <c r="W200" s="1633"/>
      <c r="X200" s="1633"/>
      <c r="Y200" s="1633"/>
      <c r="Z200" s="1633"/>
      <c r="AA200" s="1633"/>
      <c r="AB200" s="1633"/>
      <c r="AC200" s="1633"/>
      <c r="AD200" s="1633"/>
      <c r="AE200" s="1633"/>
      <c r="AF200" s="1633">
        <v>11</v>
      </c>
    </row>
    <row customHeight="1" ht="11.549999999999999">
      <c r="A201" s="992"/>
      <c r="B201" s="1633"/>
      <c r="D201" s="1633"/>
      <c r="K201" s="1633"/>
      <c r="N201" s="1633"/>
      <c r="O201" s="1633"/>
      <c r="P201" s="1633"/>
      <c r="Q201" s="1633"/>
      <c r="S201" s="1633"/>
      <c r="T201" s="1633"/>
      <c r="U201" s="1633"/>
      <c r="V201" s="1633"/>
      <c r="W201" s="1633"/>
      <c r="X201" s="1633"/>
      <c r="Y201" s="1633"/>
      <c r="Z201" s="1633"/>
      <c r="AA201" s="1633"/>
      <c r="AB201" s="1633"/>
      <c r="AC201" s="1633"/>
      <c r="AD201" s="1633"/>
      <c r="AE201" s="1633"/>
      <c r="AF201" s="1633">
        <v>11</v>
      </c>
    </row>
    <row customHeight="1" ht="11.549999999999999">
      <c r="A202" s="992"/>
      <c r="B202" s="1633"/>
      <c r="D202" s="1633"/>
      <c r="K202" s="1633"/>
      <c r="N202" s="1633"/>
      <c r="O202" s="1633"/>
      <c r="P202" s="1633"/>
      <c r="Q202" s="1633"/>
      <c r="S202" s="1633"/>
      <c r="T202" s="1633"/>
      <c r="U202" s="1633"/>
      <c r="V202" s="1633"/>
      <c r="W202" s="1633"/>
      <c r="X202" s="1633"/>
      <c r="Y202" s="1633"/>
      <c r="Z202" s="1633"/>
      <c r="AA202" s="1633"/>
      <c r="AB202" s="1633"/>
      <c r="AC202" s="1633"/>
      <c r="AD202" s="1633"/>
      <c r="AE202" s="1633"/>
      <c r="AF202" s="1633">
        <v>11</v>
      </c>
    </row>
    <row customHeight="1" ht="11.549999999999999">
      <c r="A203" s="992"/>
      <c r="B203" s="1633"/>
      <c r="D203" s="1633"/>
      <c r="K203" s="1633"/>
      <c r="N203" s="1633"/>
      <c r="O203" s="1633"/>
      <c r="P203" s="1633"/>
      <c r="Q203" s="1633"/>
      <c r="S203" s="1633"/>
      <c r="T203" s="1633"/>
      <c r="U203" s="1633"/>
      <c r="V203" s="1633"/>
      <c r="W203" s="1633"/>
      <c r="X203" s="1633"/>
      <c r="Y203" s="1633"/>
      <c r="Z203" s="1633"/>
      <c r="AA203" s="1633"/>
      <c r="AB203" s="1633"/>
      <c r="AC203" s="1633"/>
      <c r="AD203" s="1633"/>
      <c r="AE203" s="1633"/>
      <c r="AF203" s="1633">
        <v>11</v>
      </c>
    </row>
    <row customHeight="1" ht="11.549999999999999">
      <c r="A204" s="992"/>
      <c r="B204" s="1633"/>
      <c r="D204" s="1633"/>
      <c r="K204" s="1633"/>
      <c r="N204" s="1633"/>
      <c r="O204" s="1633"/>
      <c r="P204" s="1633"/>
      <c r="Q204" s="1633"/>
      <c r="S204" s="1633"/>
      <c r="T204" s="1633"/>
      <c r="U204" s="1633"/>
      <c r="V204" s="1633"/>
      <c r="W204" s="1633"/>
      <c r="X204" s="1633"/>
      <c r="Y204" s="1633"/>
      <c r="Z204" s="1633"/>
      <c r="AA204" s="1633"/>
      <c r="AB204" s="1633"/>
      <c r="AC204" s="1633"/>
      <c r="AD204" s="1633"/>
      <c r="AE204" s="1633"/>
      <c r="AF204" s="1633">
        <v>11</v>
      </c>
    </row>
    <row customHeight="1" ht="11.549999999999999">
      <c r="A205" s="992"/>
      <c r="B205" s="1633"/>
      <c r="D205" s="1633"/>
      <c r="K205" s="1633"/>
      <c r="N205" s="1633"/>
      <c r="O205" s="1633"/>
      <c r="P205" s="1633"/>
      <c r="Q205" s="1633"/>
      <c r="S205" s="1633"/>
      <c r="T205" s="1633"/>
      <c r="U205" s="1633"/>
      <c r="V205" s="1633"/>
      <c r="W205" s="1633"/>
      <c r="X205" s="1633"/>
      <c r="Y205" s="1633"/>
      <c r="Z205" s="1633"/>
      <c r="AA205" s="1633"/>
      <c r="AB205" s="1633"/>
      <c r="AC205" s="1633"/>
      <c r="AD205" s="1633"/>
      <c r="AE205" s="1633"/>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25" hidden="1">
      <c r="A210" s="989" t="s">
        <v>82</v>
      </c>
      <c r="B210" s="1162">
        <v>0</v>
      </c>
      <c r="C210" s="1638">
        <v>0</v>
      </c>
      <c r="D210" s="1637">
        <v>3</v>
      </c>
      <c r="E210" s="1633">
        <v>7</v>
      </c>
      <c r="F210" s="1633">
        <v>54</v>
      </c>
      <c r="G210" s="1633">
        <v>10</v>
      </c>
      <c r="H210" s="1633">
        <v>0</v>
      </c>
      <c r="I210" s="1633">
        <v>40</v>
      </c>
      <c r="J210" s="1633">
        <v>102</v>
      </c>
      <c r="K210" s="1162">
        <v>9</v>
      </c>
      <c r="L210" s="1638">
        <v>5</v>
      </c>
      <c r="M210" s="1638">
        <v>3</v>
      </c>
      <c r="N210" s="1162">
        <v>3</v>
      </c>
      <c r="O210" s="1162">
        <v>3</v>
      </c>
      <c r="P210" s="1162">
        <v>3</v>
      </c>
      <c r="Q210" s="1162">
        <v>3</v>
      </c>
      <c r="R210" s="1638">
        <v>10</v>
      </c>
      <c r="S210" s="1162">
        <v>34</v>
      </c>
      <c r="T210" s="1162">
        <v>9</v>
      </c>
      <c r="U210" s="546">
        <v>8</v>
      </c>
      <c r="V210" s="1162">
        <v>8</v>
      </c>
      <c r="W210" s="1162">
        <v>8</v>
      </c>
      <c r="X210" s="1162">
        <v>8</v>
      </c>
      <c r="Y210" s="1162">
        <v>8</v>
      </c>
      <c r="Z210" s="1162">
        <v>8</v>
      </c>
      <c r="AA210" s="1634">
        <v>8</v>
      </c>
      <c r="AB210" s="1634">
        <v>8</v>
      </c>
      <c r="AC210" s="1634">
        <v>8</v>
      </c>
      <c r="AD210" s="1634">
        <v>8</v>
      </c>
      <c r="AE210" s="1634">
        <v>8</v>
      </c>
      <c r="AF210" s="1633">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AC32ED-559A-7B62-A99D-98FCA3EDB07A}"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8" width="9.140625" hidden="1" customWidth="1"/>
    <col min="2" max="2" style="1644" width="3.57421875" hidden="1" customWidth="1"/>
    <col min="3" max="3" style="1637" width="3.00390625" customWidth="1"/>
    <col min="4" max="4" style="1637" width="7.00390625" customWidth="1"/>
    <col min="5" max="5" style="1637" width="69.00390625" customWidth="1"/>
    <col min="6" max="6" style="1637" width="10.00390625" customWidth="1"/>
    <col min="7" max="8" style="1637" width="44.00390625" hidden="1" customWidth="1"/>
    <col min="9" max="9" style="1637" width="44.00390625" customWidth="1"/>
    <col min="10" max="10" style="1637" width="43.00390625" customWidth="1"/>
    <col min="11" max="11" style="1637" width="73.00390625" customWidth="1"/>
    <col min="12" max="12" style="1637" width="3.00390625" customWidth="1"/>
    <col min="13" max="23" style="1637" width="10.00390625" customWidth="1"/>
    <col min="24" max="24" style="1637" width="10.57421875" hidden="1"/>
  </cols>
  <sheetData>
    <row s="1368" customFormat="1" customHeight="1" ht="22.5" hidden="1">
      <c r="A1" s="538"/>
      <c r="B1" s="513"/>
      <c r="G1" s="419">
        <v>4</v>
      </c>
      <c r="I1" s="419">
        <v>4</v>
      </c>
      <c r="K1" s="419">
        <v>5</v>
      </c>
      <c r="X1" s="419" t="s">
        <v>14</v>
      </c>
    </row>
    <row customHeight="1" ht="3">
      <c r="X2" s="507">
        <v>3</v>
      </c>
    </row>
    <row customHeight="1" ht="78.75">
      <c r="D3"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1"/>
      <c r="F3" s="2242"/>
      <c r="X3" s="507">
        <v>75</v>
      </c>
    </row>
    <row s="1637" customFormat="1" customHeight="1" ht="21">
      <c r="A4" s="953"/>
      <c r="B4" s="513"/>
      <c r="D4" s="2216" t="str">
        <f>IF(org=0,"Не определено",org)</f>
        <v>ПАО "ТГК-2"</v>
      </c>
      <c r="E4" s="2217"/>
      <c r="F4" s="2218"/>
      <c r="X4" s="760">
        <v>20</v>
      </c>
    </row>
    <row customHeight="1" ht="11.549999999999999">
      <c r="C5" s="511"/>
      <c r="D5" s="590"/>
      <c r="E5" s="590"/>
      <c r="F5" s="590"/>
      <c r="G5" s="590"/>
      <c r="H5" s="754"/>
      <c r="I5" s="590"/>
      <c r="J5" s="754"/>
      <c r="K5" s="590"/>
      <c r="X5" s="507">
        <v>11</v>
      </c>
    </row>
    <row customHeight="1" ht="1.05">
      <c r="C6" s="511"/>
      <c r="D6" s="511"/>
      <c r="E6" s="524"/>
      <c r="F6" s="616"/>
      <c r="G6" s="1024"/>
      <c r="H6" s="1024"/>
      <c r="I6" s="1024" t="s">
        <v>118</v>
      </c>
      <c r="J6" s="1024"/>
      <c r="X6" s="507">
        <v>1</v>
      </c>
    </row>
    <row customHeight="1" ht="11.549999999999999">
      <c r="D7" s="713"/>
      <c r="E7" s="2369" t="s">
        <v>105</v>
      </c>
      <c r="F7" s="2370"/>
      <c r="G7" s="2395" t="str">
        <f>IF(G6="","",INDEX(DIFFERENTIATION_UNMERGE_VD,MATCH(G6,DIFFERENTIATION_ID_DIFF,0)))</f>
        <v/>
      </c>
      <c r="H7" s="2396"/>
      <c r="I7" s="2395" t="str">
        <f>IF(I6="","",INDEX(DIFFERENTIATION_UNMERGE_VD,MATCH(I6,DIFFERENTIATION_ID_DIFF,0)))</f>
        <v>Подключение (технологическое присоединение) к системе теплоснабжения</v>
      </c>
      <c r="J7" s="2396"/>
      <c r="K7" s="2177"/>
      <c r="L7" s="511"/>
      <c r="X7" s="507">
        <v>11</v>
      </c>
    </row>
    <row customHeight="1" ht="11.549999999999999">
      <c r="A8" s="706"/>
      <c r="D8" s="713"/>
      <c r="E8" s="2369" t="s">
        <v>564</v>
      </c>
      <c r="F8" s="2370"/>
      <c r="G8" s="2395" t="str">
        <f>IF(G6="","",INDEX(DIFFERENTIATION_UNMERGE_AREA,MATCH(G6,DIFFERENTIATION_ID_DIFF,0)))</f>
        <v/>
      </c>
      <c r="H8" s="2396"/>
      <c r="I8" s="2395" t="str">
        <f>IF(I6="","",INDEX(DIFFERENTIATION_UNMERGE_AREA,MATCH(I6,DIFFERENTIATION_ID_DIFF,0)))</f>
        <v>Территория 1</v>
      </c>
      <c r="J8" s="2396"/>
      <c r="K8" s="2201"/>
      <c r="L8" s="511"/>
      <c r="X8" s="507">
        <v>11</v>
      </c>
    </row>
    <row customHeight="1" ht="11.549999999999999">
      <c r="A9" s="706"/>
      <c r="D9" s="713"/>
      <c r="E9" s="2369" t="s">
        <v>565</v>
      </c>
      <c r="F9" s="2370"/>
      <c r="G9" s="2395" t="str">
        <f>IF(G6="","",INDEX(DIFFERENTIATION_UNMERGE_SYSTEM,MATCH(G6,DIFFERENTIATION_ID_DIFF,0)))</f>
        <v/>
      </c>
      <c r="H9" s="2396"/>
      <c r="I9" s="2395" t="str">
        <f>IF(I6="","",INDEX(DIFFERENTIATION_UNMERGE_SYSTEM,MATCH(I6,DIFFERENTIATION_ID_DIFF,0)))</f>
        <v>Вологодская ТЭЦ</v>
      </c>
      <c r="J9" s="2396"/>
      <c r="K9" s="2201"/>
      <c r="L9" s="511"/>
      <c r="X9" s="507">
        <v>11</v>
      </c>
    </row>
    <row s="1637" customFormat="1" customHeight="1" ht="11.549999999999999">
      <c r="A10" s="1023"/>
      <c r="B10" s="513"/>
      <c r="D10" s="2103" t="s">
        <v>300</v>
      </c>
      <c r="E10" s="2104"/>
      <c r="F10" s="2104"/>
      <c r="G10" s="2104"/>
      <c r="H10" s="2104"/>
      <c r="I10" s="2104"/>
      <c r="J10" s="2105"/>
      <c r="K10" s="2201"/>
      <c r="L10" s="511"/>
      <c r="X10" s="760">
        <v>11</v>
      </c>
    </row>
    <row s="1637" customFormat="1" customHeight="1" ht="24">
      <c r="A11" s="2387"/>
      <c r="B11" s="2387"/>
      <c r="C11" s="659"/>
      <c r="D11" s="705" t="s">
        <v>88</v>
      </c>
      <c r="E11" s="707" t="s">
        <v>807</v>
      </c>
      <c r="F11" s="707" t="s">
        <v>566</v>
      </c>
      <c r="G11" s="467" t="s">
        <v>303</v>
      </c>
      <c r="H11" s="467" t="s">
        <v>390</v>
      </c>
      <c r="I11" s="809" t="s">
        <v>303</v>
      </c>
      <c r="J11" s="810" t="s">
        <v>390</v>
      </c>
      <c r="K11" s="2234"/>
      <c r="L11" s="660"/>
      <c r="X11" s="511">
        <v>23</v>
      </c>
    </row>
    <row s="1644" customFormat="1" customHeight="1" ht="10.5">
      <c r="A12" s="954"/>
      <c r="D12" s="1027" t="s">
        <v>109</v>
      </c>
      <c r="E12" s="1027" t="s">
        <v>110</v>
      </c>
      <c r="F12" s="1027" t="s">
        <v>90</v>
      </c>
      <c r="G12" s="1028" t="str">
        <f>G1&amp;".1"</f>
        <v>4.1</v>
      </c>
      <c r="H12" s="1028" t="str">
        <f>G1&amp;".2"</f>
        <v>4.2</v>
      </c>
      <c r="I12" s="1028" t="str">
        <f>I1&amp;".1"</f>
        <v>4.1</v>
      </c>
      <c r="J12" s="1028" t="str">
        <f>I1&amp;".2"</f>
        <v>4.2</v>
      </c>
      <c r="K12" s="1028"/>
      <c r="X12" s="513">
        <v>10</v>
      </c>
    </row>
    <row customHeight="1" ht="22.5">
      <c r="A13" s="2394" t="s">
        <v>808</v>
      </c>
      <c r="D13" s="955" t="s">
        <v>109</v>
      </c>
      <c r="E13" s="281" t="s">
        <v>809</v>
      </c>
      <c r="F13" s="662" t="s">
        <v>810</v>
      </c>
      <c r="G13" s="559"/>
      <c r="H13" s="663"/>
      <c r="I13" s="559"/>
      <c r="J13" s="663"/>
      <c r="K13" s="291" t="s">
        <v>811</v>
      </c>
      <c r="L13" s="722"/>
      <c r="X13" s="507">
        <v>0</v>
      </c>
    </row>
    <row customHeight="1" ht="22.5">
      <c r="A14" s="2394"/>
      <c r="D14" s="541" t="s">
        <v>110</v>
      </c>
      <c r="E14" s="281" t="s">
        <v>812</v>
      </c>
      <c r="F14" s="662" t="s">
        <v>813</v>
      </c>
      <c r="G14" s="559"/>
      <c r="H14" s="664"/>
      <c r="I14" s="559"/>
      <c r="J14" s="664"/>
      <c r="K14" s="291" t="s">
        <v>814</v>
      </c>
      <c r="L14" s="722"/>
      <c r="X14" s="507">
        <v>0</v>
      </c>
    </row>
    <row s="1637" customFormat="1" customHeight="1" ht="78.75">
      <c r="A15" s="2394"/>
      <c r="B15" s="513"/>
      <c r="D15" s="955" t="s">
        <v>90</v>
      </c>
      <c r="E15" s="709" t="s">
        <v>815</v>
      </c>
      <c r="F15" s="952" t="s">
        <v>306</v>
      </c>
      <c r="G15" s="952" t="s">
        <v>306</v>
      </c>
      <c r="H15" s="108"/>
      <c r="I15" s="952" t="s">
        <v>306</v>
      </c>
      <c r="J15" s="108"/>
      <c r="K15" s="291" t="s">
        <v>816</v>
      </c>
      <c r="L15" s="722"/>
      <c r="X15" s="760">
        <v>0</v>
      </c>
    </row>
    <row s="1637" customFormat="1" customHeight="1" ht="22.5">
      <c r="A16" s="2394"/>
      <c r="B16" s="513"/>
      <c r="D16" s="955" t="s">
        <v>324</v>
      </c>
      <c r="E16" s="956" t="s">
        <v>817</v>
      </c>
      <c r="F16" s="952" t="s">
        <v>818</v>
      </c>
      <c r="G16" s="819"/>
      <c r="H16" s="108"/>
      <c r="I16" s="819"/>
      <c r="J16" s="108"/>
      <c r="K16" s="291"/>
      <c r="L16" s="722"/>
      <c r="X16" s="760">
        <v>0</v>
      </c>
    </row>
    <row s="1637" customFormat="1" customHeight="1" ht="22.5">
      <c r="A17" s="2394"/>
      <c r="B17" s="513"/>
      <c r="D17" s="955" t="s">
        <v>332</v>
      </c>
      <c r="E17" s="956" t="s">
        <v>819</v>
      </c>
      <c r="F17" s="952" t="s">
        <v>820</v>
      </c>
      <c r="G17" s="819"/>
      <c r="H17" s="108"/>
      <c r="I17" s="819"/>
      <c r="J17" s="108"/>
      <c r="K17" s="291"/>
      <c r="L17" s="722"/>
      <c r="X17" s="760">
        <v>0</v>
      </c>
    </row>
    <row s="1637" customFormat="1" customHeight="1" ht="33.75">
      <c r="A18" s="2394"/>
      <c r="B18" s="513"/>
      <c r="D18" s="955" t="s">
        <v>334</v>
      </c>
      <c r="E18" s="956" t="s">
        <v>821</v>
      </c>
      <c r="F18" s="952" t="s">
        <v>571</v>
      </c>
      <c r="G18" s="682"/>
      <c r="H18" s="108"/>
      <c r="I18" s="682"/>
      <c r="J18" s="108"/>
      <c r="K18" s="291"/>
      <c r="L18" s="722"/>
      <c r="X18" s="760">
        <v>0</v>
      </c>
    </row>
    <row customHeight="1" ht="101.25">
      <c r="A19" s="2394"/>
      <c r="D19" s="955" t="s">
        <v>91</v>
      </c>
      <c r="E19" s="281" t="s">
        <v>822</v>
      </c>
      <c r="F19" s="662" t="s">
        <v>546</v>
      </c>
      <c r="G19" s="665"/>
      <c r="H19" s="664"/>
      <c r="I19" s="957"/>
      <c r="J19" s="664"/>
      <c r="K19" s="291" t="s">
        <v>823</v>
      </c>
      <c r="L19" s="722"/>
      <c r="X19" s="507">
        <v>0</v>
      </c>
    </row>
    <row s="1637" customFormat="1" customHeight="1" ht="18.75">
      <c r="A20" s="2394"/>
      <c r="C20" s="958"/>
      <c r="D20" s="955" t="s">
        <v>754</v>
      </c>
      <c r="E20" s="956" t="s">
        <v>824</v>
      </c>
      <c r="F20" s="952" t="s">
        <v>306</v>
      </c>
      <c r="G20" s="952" t="s">
        <v>306</v>
      </c>
      <c r="H20" s="951" t="s">
        <v>306</v>
      </c>
      <c r="I20" s="952" t="s">
        <v>306</v>
      </c>
      <c r="J20" s="951" t="s">
        <v>306</v>
      </c>
      <c r="K20" s="950"/>
      <c r="L20" s="722"/>
      <c r="W20" s="677"/>
      <c r="X20" s="760">
        <v>0</v>
      </c>
    </row>
    <row s="1637" customFormat="1" customHeight="1" ht="33.75">
      <c r="A21" s="2394"/>
      <c r="C21" s="958"/>
      <c r="D21" s="955" t="s">
        <v>757</v>
      </c>
      <c r="E21" s="578" t="s">
        <v>825</v>
      </c>
      <c r="F21" s="952" t="s">
        <v>826</v>
      </c>
      <c r="G21" s="682"/>
      <c r="H21" s="108"/>
      <c r="I21" s="682"/>
      <c r="J21" s="108"/>
      <c r="K21" s="950"/>
      <c r="L21" s="722"/>
      <c r="W21" s="677"/>
      <c r="X21" s="760">
        <v>0</v>
      </c>
    </row>
    <row s="1637" customFormat="1" customHeight="1" ht="33.75">
      <c r="A22" s="2394"/>
      <c r="C22" s="958"/>
      <c r="D22" s="955" t="s">
        <v>760</v>
      </c>
      <c r="E22" s="578" t="s">
        <v>827</v>
      </c>
      <c r="F22" s="952" t="s">
        <v>828</v>
      </c>
      <c r="G22" s="682"/>
      <c r="H22" s="108"/>
      <c r="I22" s="682"/>
      <c r="J22" s="108"/>
      <c r="K22" s="950"/>
      <c r="L22" s="722"/>
      <c r="W22" s="677"/>
      <c r="X22" s="760">
        <v>0</v>
      </c>
    </row>
    <row s="1637" customFormat="1" customHeight="1" ht="22.5">
      <c r="A23" s="2394"/>
      <c r="C23" s="958"/>
      <c r="D23" s="955" t="s">
        <v>796</v>
      </c>
      <c r="E23" s="956" t="s">
        <v>829</v>
      </c>
      <c r="F23" s="952" t="s">
        <v>306</v>
      </c>
      <c r="G23" s="952" t="s">
        <v>306</v>
      </c>
      <c r="H23" s="951" t="s">
        <v>306</v>
      </c>
      <c r="I23" s="952" t="s">
        <v>306</v>
      </c>
      <c r="J23" s="951" t="s">
        <v>306</v>
      </c>
      <c r="K23" s="950"/>
      <c r="L23" s="722"/>
      <c r="W23" s="677"/>
      <c r="X23" s="760">
        <v>0</v>
      </c>
    </row>
    <row s="1637" customFormat="1" customHeight="1" ht="22.5">
      <c r="A24" s="2394"/>
      <c r="C24" s="958"/>
      <c r="D24" s="955" t="s">
        <v>830</v>
      </c>
      <c r="E24" s="578" t="s">
        <v>831</v>
      </c>
      <c r="F24" s="952" t="s">
        <v>832</v>
      </c>
      <c r="G24" s="682"/>
      <c r="H24" s="688"/>
      <c r="I24" s="682"/>
      <c r="J24" s="688"/>
      <c r="K24" s="950"/>
      <c r="L24" s="722"/>
      <c r="W24" s="677"/>
      <c r="X24" s="760">
        <v>0</v>
      </c>
    </row>
    <row s="1637" customFormat="1" customHeight="1" ht="22.5">
      <c r="A25" s="2394"/>
      <c r="C25" s="958"/>
      <c r="D25" s="955" t="s">
        <v>833</v>
      </c>
      <c r="E25" s="578" t="s">
        <v>834</v>
      </c>
      <c r="F25" s="952" t="s">
        <v>306</v>
      </c>
      <c r="G25" s="952" t="s">
        <v>306</v>
      </c>
      <c r="H25" s="951" t="s">
        <v>306</v>
      </c>
      <c r="I25" s="952" t="s">
        <v>306</v>
      </c>
      <c r="J25" s="951" t="s">
        <v>306</v>
      </c>
      <c r="K25" s="950"/>
      <c r="L25" s="722"/>
      <c r="W25" s="677"/>
      <c r="X25" s="760">
        <v>0</v>
      </c>
    </row>
    <row s="1637" customFormat="1" customHeight="1" ht="18.75">
      <c r="A26" s="2394"/>
      <c r="C26" s="958"/>
      <c r="D26" s="955" t="s">
        <v>835</v>
      </c>
      <c r="E26" s="555" t="s">
        <v>836</v>
      </c>
      <c r="F26" s="952" t="s">
        <v>837</v>
      </c>
      <c r="G26" s="682"/>
      <c r="H26" s="688"/>
      <c r="I26" s="682"/>
      <c r="J26" s="688"/>
      <c r="K26" s="950"/>
      <c r="L26" s="722"/>
      <c r="W26" s="677"/>
      <c r="X26" s="760">
        <v>0</v>
      </c>
    </row>
    <row s="1637" customFormat="1" customHeight="1" ht="18.75">
      <c r="A27" s="2394"/>
      <c r="C27" s="958"/>
      <c r="D27" s="955" t="s">
        <v>838</v>
      </c>
      <c r="E27" s="555" t="s">
        <v>839</v>
      </c>
      <c r="F27" s="952" t="s">
        <v>840</v>
      </c>
      <c r="G27" s="682"/>
      <c r="H27" s="688"/>
      <c r="I27" s="682"/>
      <c r="J27" s="688"/>
      <c r="K27" s="950"/>
      <c r="L27" s="722"/>
      <c r="W27" s="677"/>
      <c r="X27" s="760">
        <v>0</v>
      </c>
    </row>
    <row s="1637" customFormat="1" customHeight="1" ht="18.75">
      <c r="A28" s="2394"/>
      <c r="C28" s="958"/>
      <c r="D28" s="955" t="s">
        <v>841</v>
      </c>
      <c r="E28" s="578" t="s">
        <v>842</v>
      </c>
      <c r="F28" s="952" t="s">
        <v>306</v>
      </c>
      <c r="G28" s="952" t="s">
        <v>306</v>
      </c>
      <c r="H28" s="951" t="s">
        <v>306</v>
      </c>
      <c r="I28" s="952" t="s">
        <v>306</v>
      </c>
      <c r="J28" s="951" t="s">
        <v>306</v>
      </c>
      <c r="K28" s="950"/>
      <c r="L28" s="722"/>
      <c r="W28" s="677"/>
      <c r="X28" s="760">
        <v>0</v>
      </c>
    </row>
    <row s="1637" customFormat="1" customHeight="1" ht="18.75">
      <c r="A29" s="2394"/>
      <c r="C29" s="958"/>
      <c r="D29" s="955" t="s">
        <v>843</v>
      </c>
      <c r="E29" s="555" t="s">
        <v>836</v>
      </c>
      <c r="F29" s="952" t="s">
        <v>844</v>
      </c>
      <c r="G29" s="682"/>
      <c r="H29" s="688"/>
      <c r="I29" s="682"/>
      <c r="J29" s="688"/>
      <c r="K29" s="950"/>
      <c r="L29" s="722"/>
      <c r="W29" s="677"/>
      <c r="X29" s="760">
        <v>0</v>
      </c>
    </row>
    <row s="1637" customFormat="1" customHeight="1" ht="18.75">
      <c r="A30" s="2394"/>
      <c r="C30" s="958"/>
      <c r="D30" s="955" t="s">
        <v>845</v>
      </c>
      <c r="E30" s="555" t="s">
        <v>846</v>
      </c>
      <c r="F30" s="952" t="s">
        <v>847</v>
      </c>
      <c r="G30" s="682"/>
      <c r="H30" s="688"/>
      <c r="I30" s="682"/>
      <c r="J30" s="688"/>
      <c r="K30" s="950"/>
      <c r="L30" s="722"/>
      <c r="W30" s="677"/>
      <c r="X30" s="760">
        <v>0</v>
      </c>
    </row>
    <row customHeight="1" ht="126.75">
      <c r="A31" s="2394"/>
      <c r="D31" s="955" t="s">
        <v>111</v>
      </c>
      <c r="E31" s="281" t="s">
        <v>848</v>
      </c>
      <c r="F31" s="662" t="s">
        <v>558</v>
      </c>
      <c r="G31" s="559"/>
      <c r="H31" s="664"/>
      <c r="I31" s="559"/>
      <c r="J31" s="664"/>
      <c r="K31" s="291" t="s">
        <v>849</v>
      </c>
      <c r="L31" s="722"/>
      <c r="X31" s="507">
        <v>0</v>
      </c>
    </row>
    <row customHeight="1" ht="56.25">
      <c r="A32" s="2394"/>
      <c r="D32" s="955" t="s">
        <v>92</v>
      </c>
      <c r="E32" s="281" t="s">
        <v>850</v>
      </c>
      <c r="F32" s="541" t="s">
        <v>820</v>
      </c>
      <c r="G32" s="559"/>
      <c r="H32" s="664"/>
      <c r="I32" s="559"/>
      <c r="J32" s="664"/>
      <c r="K32" s="291" t="s">
        <v>851</v>
      </c>
      <c r="L32" s="722"/>
      <c r="X32" s="507">
        <v>0</v>
      </c>
    </row>
    <row customHeight="1" ht="11.25">
      <c r="A33" s="2394"/>
      <c r="E33" s="666"/>
      <c r="F33" s="183"/>
      <c r="G33" s="183"/>
      <c r="H33" s="183"/>
      <c r="I33" s="183"/>
      <c r="J33" s="183"/>
      <c r="K33" s="183"/>
      <c r="X33" s="507">
        <v>0</v>
      </c>
    </row>
    <row customHeight="1" ht="12.75">
      <c r="A34" s="2394"/>
      <c r="D34" s="67">
        <v>1</v>
      </c>
      <c r="E34" s="337" t="s">
        <v>852</v>
      </c>
      <c r="X34" s="507">
        <v>0</v>
      </c>
    </row>
    <row customHeight="1" ht="11.25">
      <c r="A35" s="2394"/>
      <c r="D35" s="371"/>
      <c r="E35" s="337" t="s">
        <v>853</v>
      </c>
      <c r="X35" s="507">
        <v>0</v>
      </c>
    </row>
    <row s="1637" customFormat="1" customHeight="1" ht="11.549999999999999">
      <c r="A36" s="1035"/>
      <c r="B36" s="520"/>
      <c r="D36" s="1036"/>
      <c r="E36" s="1037"/>
      <c r="X36" s="511">
        <v>11</v>
      </c>
    </row>
    <row s="1637" customFormat="1" customHeight="1" ht="22.5" hidden="1">
      <c r="A37" s="2394" t="s">
        <v>854</v>
      </c>
      <c r="B37" s="513"/>
      <c r="D37" s="955">
        <v>1</v>
      </c>
      <c r="E37" s="709" t="s">
        <v>855</v>
      </c>
      <c r="F37" s="662" t="s">
        <v>810</v>
      </c>
      <c r="G37" s="559"/>
      <c r="H37" s="521"/>
      <c r="I37" s="559"/>
      <c r="J37" s="521"/>
      <c r="K37" s="291" t="s">
        <v>856</v>
      </c>
      <c r="X37" s="760">
        <v>0</v>
      </c>
    </row>
    <row s="1637" customFormat="1" customHeight="1" ht="22.5" hidden="1">
      <c r="A38" s="2394"/>
      <c r="B38" s="513"/>
      <c r="D38" s="671" t="s">
        <v>110</v>
      </c>
      <c r="E38" s="1034" t="s">
        <v>857</v>
      </c>
      <c r="F38" s="1038" t="s">
        <v>546</v>
      </c>
      <c r="G38" s="1038" t="s">
        <v>546</v>
      </c>
      <c r="H38" s="1032"/>
      <c r="I38" s="1038" t="s">
        <v>546</v>
      </c>
      <c r="J38" s="1032"/>
      <c r="K38" s="1033"/>
      <c r="X38" s="760">
        <v>0</v>
      </c>
    </row>
    <row s="1637" customFormat="1" customHeight="1" ht="33.75" hidden="1">
      <c r="A39" s="2394"/>
      <c r="B39" s="513"/>
      <c r="D39" s="667" t="s">
        <v>712</v>
      </c>
      <c r="E39" s="725" t="s">
        <v>858</v>
      </c>
      <c r="F39" s="662" t="s">
        <v>859</v>
      </c>
      <c r="G39" s="670"/>
      <c r="H39" s="1025"/>
      <c r="I39" s="670"/>
      <c r="J39" s="1025"/>
      <c r="K39" s="291" t="s">
        <v>860</v>
      </c>
      <c r="X39" s="760">
        <v>0</v>
      </c>
    </row>
    <row s="1637" customFormat="1" customHeight="1" ht="33.75" hidden="1">
      <c r="A40" s="2394"/>
      <c r="B40" s="513"/>
      <c r="D40" s="667" t="s">
        <v>715</v>
      </c>
      <c r="E40" s="725" t="s">
        <v>861</v>
      </c>
      <c r="F40" s="1029" t="s">
        <v>862</v>
      </c>
      <c r="G40" s="743"/>
      <c r="H40" s="1025"/>
      <c r="I40" s="743"/>
      <c r="J40" s="1025"/>
      <c r="K40" s="291" t="s">
        <v>863</v>
      </c>
      <c r="X40" s="760">
        <v>0</v>
      </c>
    </row>
    <row s="1637" customFormat="1" customHeight="1" ht="22.5" hidden="1">
      <c r="A41" s="2394"/>
      <c r="B41" s="513"/>
      <c r="D41" s="667" t="s">
        <v>90</v>
      </c>
      <c r="E41" s="724" t="s">
        <v>864</v>
      </c>
      <c r="F41" s="662" t="s">
        <v>546</v>
      </c>
      <c r="G41" s="662" t="s">
        <v>546</v>
      </c>
      <c r="H41" s="1026"/>
      <c r="I41" s="662" t="s">
        <v>546</v>
      </c>
      <c r="J41" s="1026"/>
      <c r="K41" s="304"/>
      <c r="X41" s="760">
        <v>0</v>
      </c>
    </row>
    <row s="1637" customFormat="1" customHeight="1" ht="45" hidden="1">
      <c r="A42" s="2394"/>
      <c r="B42" s="513"/>
      <c r="D42" s="667" t="s">
        <v>324</v>
      </c>
      <c r="E42" s="725" t="s">
        <v>865</v>
      </c>
      <c r="F42" s="662" t="s">
        <v>558</v>
      </c>
      <c r="G42" s="559"/>
      <c r="H42" s="1026"/>
      <c r="I42" s="559"/>
      <c r="J42" s="1026"/>
      <c r="K42" s="304" t="s">
        <v>866</v>
      </c>
      <c r="X42" s="760">
        <v>0</v>
      </c>
    </row>
    <row s="1637" customFormat="1" customHeight="1" ht="45" hidden="1">
      <c r="A43" s="2394"/>
      <c r="B43" s="513"/>
      <c r="D43" s="667" t="s">
        <v>332</v>
      </c>
      <c r="E43" s="669" t="s">
        <v>867</v>
      </c>
      <c r="F43" s="1030" t="s">
        <v>558</v>
      </c>
      <c r="G43" s="744"/>
      <c r="H43" s="1025"/>
      <c r="I43" s="744"/>
      <c r="J43" s="1025"/>
      <c r="K43" s="304" t="s">
        <v>868</v>
      </c>
      <c r="X43" s="760">
        <v>0</v>
      </c>
    </row>
    <row s="1637" customFormat="1" customHeight="1" ht="11.25" hidden="1">
      <c r="A44" s="2394"/>
      <c r="B44" s="513"/>
      <c r="D44" s="667" t="s">
        <v>91</v>
      </c>
      <c r="E44" s="668" t="s">
        <v>869</v>
      </c>
      <c r="F44" s="662" t="s">
        <v>859</v>
      </c>
      <c r="G44" s="670"/>
      <c r="H44" s="1025"/>
      <c r="I44" s="670"/>
      <c r="J44" s="1025"/>
      <c r="K44" s="291"/>
      <c r="X44" s="760">
        <v>0</v>
      </c>
    </row>
    <row s="1637" customFormat="1" customHeight="1" ht="11.25" hidden="1">
      <c r="A45" s="2394"/>
      <c r="B45" s="513"/>
      <c r="D45" s="667" t="s">
        <v>754</v>
      </c>
      <c r="E45" s="669" t="s">
        <v>870</v>
      </c>
      <c r="F45" s="662" t="s">
        <v>859</v>
      </c>
      <c r="G45" s="670"/>
      <c r="H45" s="1025"/>
      <c r="I45" s="670"/>
      <c r="J45" s="1025"/>
      <c r="K45" s="291"/>
      <c r="X45" s="760">
        <v>0</v>
      </c>
    </row>
    <row s="1637" customFormat="1" customHeight="1" ht="11.25" hidden="1">
      <c r="A46" s="2394"/>
      <c r="B46" s="513"/>
      <c r="D46" s="667" t="s">
        <v>796</v>
      </c>
      <c r="E46" s="669" t="s">
        <v>871</v>
      </c>
      <c r="F46" s="662" t="s">
        <v>859</v>
      </c>
      <c r="G46" s="670"/>
      <c r="H46" s="1025"/>
      <c r="I46" s="670"/>
      <c r="J46" s="1025"/>
      <c r="K46" s="291"/>
      <c r="X46" s="760">
        <v>0</v>
      </c>
    </row>
    <row s="1637" customFormat="1" customHeight="1" ht="11.25" hidden="1">
      <c r="A47" s="2394"/>
      <c r="B47" s="513"/>
      <c r="D47" s="667" t="s">
        <v>799</v>
      </c>
      <c r="E47" s="669" t="s">
        <v>872</v>
      </c>
      <c r="F47" s="662" t="s">
        <v>859</v>
      </c>
      <c r="G47" s="670"/>
      <c r="H47" s="1025"/>
      <c r="I47" s="670"/>
      <c r="J47" s="1025"/>
      <c r="K47" s="291"/>
      <c r="X47" s="760">
        <v>0</v>
      </c>
    </row>
    <row s="1637" customFormat="1" customHeight="1" ht="11.25" hidden="1">
      <c r="A48" s="2394"/>
      <c r="B48" s="513"/>
      <c r="D48" s="667" t="s">
        <v>873</v>
      </c>
      <c r="E48" s="673" t="s">
        <v>874</v>
      </c>
      <c r="F48" s="662" t="s">
        <v>859</v>
      </c>
      <c r="G48" s="670"/>
      <c r="H48" s="1025"/>
      <c r="I48" s="670"/>
      <c r="J48" s="1025"/>
      <c r="K48" s="291"/>
      <c r="X48" s="760">
        <v>0</v>
      </c>
    </row>
    <row s="1637" customFormat="1" customHeight="1" ht="11.25" hidden="1">
      <c r="A49" s="2394"/>
      <c r="B49" s="513"/>
      <c r="D49" s="667" t="s">
        <v>875</v>
      </c>
      <c r="E49" s="673" t="s">
        <v>876</v>
      </c>
      <c r="F49" s="662" t="s">
        <v>859</v>
      </c>
      <c r="G49" s="670"/>
      <c r="H49" s="1025"/>
      <c r="I49" s="670"/>
      <c r="J49" s="1025"/>
      <c r="K49" s="291"/>
      <c r="X49" s="760">
        <v>0</v>
      </c>
    </row>
    <row s="1637" customFormat="1" customHeight="1" ht="11.25" hidden="1">
      <c r="A50" s="2394"/>
      <c r="B50" s="513"/>
      <c r="D50" s="667" t="s">
        <v>877</v>
      </c>
      <c r="E50" s="669" t="s">
        <v>878</v>
      </c>
      <c r="F50" s="662" t="s">
        <v>859</v>
      </c>
      <c r="G50" s="670"/>
      <c r="H50" s="1025"/>
      <c r="I50" s="670"/>
      <c r="J50" s="1025"/>
      <c r="K50" s="291"/>
      <c r="X50" s="760">
        <v>0</v>
      </c>
    </row>
    <row s="1637" customFormat="1" customHeight="1" ht="11.25" hidden="1">
      <c r="A51" s="2394"/>
      <c r="B51" s="513"/>
      <c r="D51" s="667" t="s">
        <v>879</v>
      </c>
      <c r="E51" s="669" t="s">
        <v>880</v>
      </c>
      <c r="F51" s="662" t="s">
        <v>859</v>
      </c>
      <c r="G51" s="670"/>
      <c r="H51" s="1025"/>
      <c r="I51" s="670"/>
      <c r="J51" s="1025"/>
      <c r="K51" s="291"/>
      <c r="X51" s="760">
        <v>0</v>
      </c>
    </row>
    <row s="1637" customFormat="1" customHeight="1" ht="45" hidden="1">
      <c r="A52" s="2394"/>
      <c r="B52" s="513"/>
      <c r="D52" s="667" t="s">
        <v>111</v>
      </c>
      <c r="E52" s="668" t="s">
        <v>881</v>
      </c>
      <c r="F52" s="662" t="s">
        <v>859</v>
      </c>
      <c r="G52" s="670"/>
      <c r="H52" s="1025"/>
      <c r="I52" s="670"/>
      <c r="J52" s="1025"/>
      <c r="K52" s="291"/>
      <c r="X52" s="760">
        <v>0</v>
      </c>
    </row>
    <row s="1637" customFormat="1" customHeight="1" ht="11.25" hidden="1">
      <c r="A53" s="2394"/>
      <c r="B53" s="513"/>
      <c r="D53" s="667" t="s">
        <v>313</v>
      </c>
      <c r="E53" s="669" t="s">
        <v>870</v>
      </c>
      <c r="F53" s="662" t="s">
        <v>859</v>
      </c>
      <c r="G53" s="670"/>
      <c r="H53" s="1025"/>
      <c r="I53" s="670"/>
      <c r="J53" s="1025"/>
      <c r="K53" s="291"/>
      <c r="X53" s="760">
        <v>0</v>
      </c>
    </row>
    <row s="1637" customFormat="1" customHeight="1" ht="11.25" hidden="1">
      <c r="A54" s="2394"/>
      <c r="B54" s="513"/>
      <c r="D54" s="667" t="s">
        <v>882</v>
      </c>
      <c r="E54" s="669" t="s">
        <v>871</v>
      </c>
      <c r="F54" s="662" t="s">
        <v>859</v>
      </c>
      <c r="G54" s="670"/>
      <c r="H54" s="1025"/>
      <c r="I54" s="670"/>
      <c r="J54" s="1025"/>
      <c r="K54" s="291"/>
      <c r="X54" s="760">
        <v>0</v>
      </c>
    </row>
    <row s="1637" customFormat="1" customHeight="1" ht="11.25" hidden="1">
      <c r="A55" s="2394"/>
      <c r="B55" s="513"/>
      <c r="D55" s="667" t="s">
        <v>883</v>
      </c>
      <c r="E55" s="669" t="s">
        <v>872</v>
      </c>
      <c r="F55" s="662" t="s">
        <v>859</v>
      </c>
      <c r="G55" s="670"/>
      <c r="H55" s="1025"/>
      <c r="I55" s="670"/>
      <c r="J55" s="1025"/>
      <c r="K55" s="291"/>
      <c r="X55" s="760">
        <v>0</v>
      </c>
    </row>
    <row s="1637" customFormat="1" customHeight="1" ht="11.25" hidden="1">
      <c r="A56" s="2394"/>
      <c r="B56" s="513"/>
      <c r="D56" s="667" t="s">
        <v>884</v>
      </c>
      <c r="E56" s="673" t="s">
        <v>874</v>
      </c>
      <c r="F56" s="662" t="s">
        <v>859</v>
      </c>
      <c r="G56" s="670"/>
      <c r="H56" s="1025"/>
      <c r="I56" s="670"/>
      <c r="J56" s="1025"/>
      <c r="K56" s="291"/>
      <c r="X56" s="760">
        <v>0</v>
      </c>
    </row>
    <row s="1637" customFormat="1" customHeight="1" ht="11.25" hidden="1">
      <c r="A57" s="2394"/>
      <c r="B57" s="513"/>
      <c r="D57" s="667" t="s">
        <v>885</v>
      </c>
      <c r="E57" s="673" t="s">
        <v>876</v>
      </c>
      <c r="F57" s="662" t="s">
        <v>859</v>
      </c>
      <c r="G57" s="670"/>
      <c r="H57" s="1025"/>
      <c r="I57" s="670"/>
      <c r="J57" s="1025"/>
      <c r="K57" s="291"/>
      <c r="X57" s="760">
        <v>0</v>
      </c>
    </row>
    <row s="1637" customFormat="1" customHeight="1" ht="11.25" hidden="1">
      <c r="A58" s="2394"/>
      <c r="B58" s="513"/>
      <c r="D58" s="667" t="s">
        <v>886</v>
      </c>
      <c r="E58" s="669" t="s">
        <v>878</v>
      </c>
      <c r="F58" s="662" t="s">
        <v>859</v>
      </c>
      <c r="G58" s="670"/>
      <c r="H58" s="1025"/>
      <c r="I58" s="670"/>
      <c r="J58" s="1025"/>
      <c r="K58" s="291"/>
      <c r="X58" s="760">
        <v>0</v>
      </c>
    </row>
    <row s="1637" customFormat="1" customHeight="1" ht="11.25" hidden="1">
      <c r="A59" s="2394"/>
      <c r="B59" s="513"/>
      <c r="D59" s="667" t="s">
        <v>887</v>
      </c>
      <c r="E59" s="669" t="s">
        <v>880</v>
      </c>
      <c r="F59" s="662" t="s">
        <v>859</v>
      </c>
      <c r="G59" s="670"/>
      <c r="H59" s="1025"/>
      <c r="I59" s="670"/>
      <c r="J59" s="1025"/>
      <c r="K59" s="291"/>
      <c r="X59" s="760">
        <v>0</v>
      </c>
    </row>
    <row s="1637" customFormat="1" customHeight="1" ht="33.75" hidden="1">
      <c r="A60" s="2394"/>
      <c r="B60" s="513"/>
      <c r="D60" s="667" t="s">
        <v>92</v>
      </c>
      <c r="E60" s="668" t="s">
        <v>888</v>
      </c>
      <c r="F60" s="723" t="s">
        <v>558</v>
      </c>
      <c r="G60" s="744"/>
      <c r="H60" s="1025"/>
      <c r="I60" s="744"/>
      <c r="J60" s="1025"/>
      <c r="K60" s="304" t="s">
        <v>889</v>
      </c>
      <c r="X60" s="760">
        <v>0</v>
      </c>
    </row>
    <row s="1637" customFormat="1" customHeight="1" ht="33.75" hidden="1">
      <c r="A61" s="2394"/>
      <c r="B61" s="513"/>
      <c r="D61" s="667" t="s">
        <v>93</v>
      </c>
      <c r="E61" s="668" t="s">
        <v>890</v>
      </c>
      <c r="F61" s="728" t="s">
        <v>820</v>
      </c>
      <c r="G61" s="670"/>
      <c r="H61" s="1025"/>
      <c r="I61" s="670"/>
      <c r="J61" s="1025"/>
      <c r="K61" s="291"/>
      <c r="X61" s="760">
        <v>0</v>
      </c>
    </row>
    <row s="1637" customFormat="1" customHeight="1" ht="22.5" hidden="1">
      <c r="A62" s="2394"/>
      <c r="B62" s="513" t="s">
        <v>588</v>
      </c>
      <c r="D62" s="667" t="s">
        <v>112</v>
      </c>
      <c r="E62" s="668" t="s">
        <v>891</v>
      </c>
      <c r="F62" s="728" t="s">
        <v>306</v>
      </c>
      <c r="G62" s="384"/>
      <c r="H62" s="1025"/>
      <c r="I62" s="384"/>
      <c r="J62" s="1025"/>
      <c r="K62" s="291" t="s">
        <v>631</v>
      </c>
      <c r="X62" s="760">
        <v>0</v>
      </c>
    </row>
    <row s="1637" customFormat="1" customHeight="1" ht="45" hidden="1">
      <c r="A63" s="2394"/>
      <c r="B63" s="513" t="s">
        <v>588</v>
      </c>
      <c r="D63" s="667" t="s">
        <v>892</v>
      </c>
      <c r="E63" s="669" t="s">
        <v>893</v>
      </c>
      <c r="F63" s="723" t="s">
        <v>306</v>
      </c>
      <c r="G63" s="384"/>
      <c r="H63" s="1025"/>
      <c r="I63" s="384"/>
      <c r="J63" s="1025"/>
      <c r="K63" s="291" t="s">
        <v>631</v>
      </c>
      <c r="X63" s="760">
        <v>0</v>
      </c>
    </row>
    <row s="1637" customFormat="1" customHeight="1" ht="11.549999999999999">
      <c r="A64" s="1035"/>
      <c r="B64" s="520"/>
      <c r="D64" s="1036"/>
      <c r="E64" s="1037"/>
      <c r="X64" s="511">
        <v>11</v>
      </c>
    </row>
    <row s="1637" customFormat="1" customHeight="1" ht="22.5" hidden="1">
      <c r="A65" s="2394" t="s">
        <v>894</v>
      </c>
      <c r="B65" s="513"/>
      <c r="D65" s="667">
        <v>1</v>
      </c>
      <c r="E65" s="746" t="s">
        <v>895</v>
      </c>
      <c r="F65" s="742" t="s">
        <v>810</v>
      </c>
      <c r="G65" s="743"/>
      <c r="H65" s="1031"/>
      <c r="I65" s="743"/>
      <c r="J65" s="1031"/>
      <c r="K65" s="303" t="s">
        <v>896</v>
      </c>
      <c r="X65" s="760">
        <v>0</v>
      </c>
    </row>
    <row s="1637" customFormat="1" customHeight="1" ht="56.25" hidden="1">
      <c r="A66" s="2394"/>
      <c r="B66" s="513"/>
      <c r="D66" s="745" t="s">
        <v>110</v>
      </c>
      <c r="E66" s="709" t="s">
        <v>897</v>
      </c>
      <c r="F66" s="662" t="s">
        <v>546</v>
      </c>
      <c r="G66" s="662" t="s">
        <v>546</v>
      </c>
      <c r="H66" s="521"/>
      <c r="I66" s="662" t="s">
        <v>546</v>
      </c>
      <c r="J66" s="521"/>
      <c r="K66" s="291"/>
      <c r="X66" s="760">
        <v>0</v>
      </c>
    </row>
    <row s="1637" customFormat="1" customHeight="1" ht="33.75" hidden="1">
      <c r="A67" s="2394"/>
      <c r="B67" s="513"/>
      <c r="D67" s="745" t="s">
        <v>709</v>
      </c>
      <c r="E67" s="956" t="s">
        <v>898</v>
      </c>
      <c r="F67" s="662" t="s">
        <v>862</v>
      </c>
      <c r="G67" s="729"/>
      <c r="H67" s="521"/>
      <c r="I67" s="729"/>
      <c r="J67" s="521"/>
      <c r="K67" s="291"/>
      <c r="X67" s="760">
        <v>0</v>
      </c>
    </row>
    <row s="1637" customFormat="1" customHeight="1" ht="22.5" hidden="1">
      <c r="A68" s="2394"/>
      <c r="B68" s="513"/>
      <c r="D68" s="745" t="s">
        <v>307</v>
      </c>
      <c r="E68" s="956" t="s">
        <v>899</v>
      </c>
      <c r="F68" s="662" t="s">
        <v>862</v>
      </c>
      <c r="G68" s="729"/>
      <c r="H68" s="521"/>
      <c r="I68" s="729"/>
      <c r="J68" s="521"/>
      <c r="K68" s="291"/>
      <c r="X68" s="760">
        <v>0</v>
      </c>
    </row>
    <row s="1637" customFormat="1" customHeight="1" ht="22.5" hidden="1">
      <c r="A69" s="2394"/>
      <c r="B69" s="513"/>
      <c r="D69" s="745" t="s">
        <v>310</v>
      </c>
      <c r="E69" s="956" t="s">
        <v>900</v>
      </c>
      <c r="F69" s="723" t="s">
        <v>558</v>
      </c>
      <c r="G69" s="744"/>
      <c r="H69" s="521"/>
      <c r="I69" s="744"/>
      <c r="J69" s="521"/>
      <c r="K69" s="291"/>
      <c r="X69" s="760">
        <v>0</v>
      </c>
    </row>
    <row s="1637" customFormat="1" customHeight="1" ht="22.5" hidden="1">
      <c r="A70" s="2394"/>
      <c r="B70" s="513"/>
      <c r="D70" s="745" t="s">
        <v>729</v>
      </c>
      <c r="E70" s="956" t="s">
        <v>901</v>
      </c>
      <c r="F70" s="723" t="s">
        <v>558</v>
      </c>
      <c r="G70" s="744"/>
      <c r="H70" s="521"/>
      <c r="I70" s="744"/>
      <c r="J70" s="521"/>
      <c r="K70" s="291"/>
      <c r="X70" s="760">
        <v>0</v>
      </c>
    </row>
    <row s="1637" customFormat="1" customHeight="1" ht="22.5" hidden="1">
      <c r="A71" s="2394"/>
      <c r="B71" s="513"/>
      <c r="D71" s="667" t="s">
        <v>90</v>
      </c>
      <c r="E71" s="668" t="s">
        <v>902</v>
      </c>
      <c r="F71" s="662" t="s">
        <v>862</v>
      </c>
      <c r="G71" s="559"/>
      <c r="H71" s="1032"/>
      <c r="I71" s="559"/>
      <c r="J71" s="1032"/>
      <c r="K71" s="304"/>
      <c r="X71" s="760">
        <v>0</v>
      </c>
    </row>
    <row s="1637" customFormat="1" customHeight="1" ht="56.25" hidden="1">
      <c r="A72" s="2394"/>
      <c r="B72" s="513"/>
      <c r="D72" s="667" t="s">
        <v>91</v>
      </c>
      <c r="E72" s="668" t="s">
        <v>903</v>
      </c>
      <c r="F72" s="723" t="s">
        <v>558</v>
      </c>
      <c r="G72" s="744"/>
      <c r="H72" s="1025"/>
      <c r="I72" s="744"/>
      <c r="J72" s="1025"/>
      <c r="K72" s="304"/>
      <c r="X72" s="760">
        <v>0</v>
      </c>
    </row>
    <row s="1637" customFormat="1" customHeight="1" ht="33.75" hidden="1">
      <c r="A73" s="2394"/>
      <c r="B73" s="513"/>
      <c r="D73" s="667" t="s">
        <v>111</v>
      </c>
      <c r="E73" s="668" t="s">
        <v>904</v>
      </c>
      <c r="F73" s="728" t="s">
        <v>820</v>
      </c>
      <c r="G73" s="670"/>
      <c r="H73" s="1025"/>
      <c r="I73" s="670"/>
      <c r="J73" s="1025"/>
      <c r="K73" s="291"/>
      <c r="X73" s="760">
        <v>0</v>
      </c>
    </row>
    <row s="1637" customFormat="1" customHeight="1" ht="22.5" hidden="1">
      <c r="A74" s="2394"/>
      <c r="B74" s="513" t="s">
        <v>588</v>
      </c>
      <c r="D74" s="667" t="s">
        <v>92</v>
      </c>
      <c r="E74" s="668" t="s">
        <v>905</v>
      </c>
      <c r="F74" s="728" t="s">
        <v>306</v>
      </c>
      <c r="G74" s="384"/>
      <c r="H74" s="1025"/>
      <c r="I74" s="384"/>
      <c r="J74" s="1025"/>
      <c r="K74" s="291" t="s">
        <v>631</v>
      </c>
      <c r="X74" s="760">
        <v>0</v>
      </c>
    </row>
    <row s="1637" customFormat="1" customHeight="1" ht="45" hidden="1">
      <c r="A75" s="2394"/>
      <c r="B75" s="513" t="s">
        <v>588</v>
      </c>
      <c r="D75" s="667" t="s">
        <v>652</v>
      </c>
      <c r="E75" s="669" t="s">
        <v>906</v>
      </c>
      <c r="F75" s="723" t="s">
        <v>306</v>
      </c>
      <c r="G75" s="384"/>
      <c r="H75" s="1025"/>
      <c r="I75" s="384"/>
      <c r="J75" s="1025"/>
      <c r="K75" s="291" t="s">
        <v>631</v>
      </c>
      <c r="X75" s="760">
        <v>0</v>
      </c>
    </row>
    <row s="1637" customFormat="1" customHeight="1" ht="11.549999999999999">
      <c r="A76" s="1035"/>
      <c r="B76" s="520"/>
      <c r="D76" s="1036"/>
      <c r="E76" s="1037"/>
      <c r="X76" s="511">
        <v>11</v>
      </c>
    </row>
    <row s="1637" customFormat="1" customHeight="1" ht="11.25" hidden="1">
      <c r="A77" s="2394" t="s">
        <v>907</v>
      </c>
      <c r="B77" s="513"/>
      <c r="D77" s="667">
        <v>1</v>
      </c>
      <c r="E77" s="668" t="s">
        <v>908</v>
      </c>
      <c r="F77" s="723" t="s">
        <v>810</v>
      </c>
      <c r="G77" s="726"/>
      <c r="H77" s="1025"/>
      <c r="I77" s="726"/>
      <c r="J77" s="1025"/>
      <c r="K77" s="291" t="s">
        <v>909</v>
      </c>
      <c r="X77" s="760">
        <v>0</v>
      </c>
    </row>
    <row s="1637" customFormat="1" customHeight="1" ht="11.25" hidden="1">
      <c r="A78" s="2394"/>
      <c r="B78" s="513"/>
      <c r="D78" s="667" t="s">
        <v>110</v>
      </c>
      <c r="E78" s="668" t="s">
        <v>910</v>
      </c>
      <c r="F78" s="723" t="s">
        <v>810</v>
      </c>
      <c r="G78" s="726"/>
      <c r="H78" s="1025"/>
      <c r="I78" s="726"/>
      <c r="J78" s="1025"/>
      <c r="K78" s="291" t="s">
        <v>911</v>
      </c>
      <c r="X78" s="760">
        <v>0</v>
      </c>
    </row>
    <row s="1637" customFormat="1" customHeight="1" ht="22.5" hidden="1">
      <c r="A79" s="2394"/>
      <c r="B79" s="513"/>
      <c r="D79" s="667" t="s">
        <v>90</v>
      </c>
      <c r="E79" s="724" t="s">
        <v>912</v>
      </c>
      <c r="F79" s="662" t="s">
        <v>859</v>
      </c>
      <c r="G79" s="726"/>
      <c r="H79" s="1025"/>
      <c r="I79" s="726"/>
      <c r="J79" s="1025"/>
      <c r="K79" s="291" t="s">
        <v>913</v>
      </c>
      <c r="X79" s="760">
        <v>0</v>
      </c>
    </row>
    <row s="1637" customFormat="1" customHeight="1" ht="11.25" hidden="1">
      <c r="A80" s="2394"/>
      <c r="B80" s="513"/>
      <c r="D80" s="667" t="s">
        <v>324</v>
      </c>
      <c r="E80" s="725" t="s">
        <v>914</v>
      </c>
      <c r="F80" s="662" t="s">
        <v>859</v>
      </c>
      <c r="G80" s="726"/>
      <c r="H80" s="1025"/>
      <c r="I80" s="726"/>
      <c r="J80" s="1025"/>
      <c r="K80" s="291"/>
      <c r="X80" s="760">
        <v>0</v>
      </c>
    </row>
    <row s="1637" customFormat="1" customHeight="1" ht="11.25" hidden="1">
      <c r="A81" s="2394"/>
      <c r="B81" s="513"/>
      <c r="D81" s="667" t="s">
        <v>332</v>
      </c>
      <c r="E81" s="725" t="s">
        <v>915</v>
      </c>
      <c r="F81" s="662" t="s">
        <v>859</v>
      </c>
      <c r="G81" s="726"/>
      <c r="H81" s="1025"/>
      <c r="I81" s="726"/>
      <c r="J81" s="1025"/>
      <c r="K81" s="291"/>
      <c r="X81" s="760">
        <v>0</v>
      </c>
    </row>
    <row s="1637" customFormat="1" customHeight="1" ht="11.25" hidden="1">
      <c r="A82" s="2394"/>
      <c r="B82" s="513"/>
      <c r="D82" s="667" t="s">
        <v>334</v>
      </c>
      <c r="E82" s="725" t="s">
        <v>916</v>
      </c>
      <c r="F82" s="662" t="s">
        <v>859</v>
      </c>
      <c r="G82" s="726"/>
      <c r="H82" s="1025"/>
      <c r="I82" s="726"/>
      <c r="J82" s="1025"/>
      <c r="K82" s="291"/>
      <c r="X82" s="760">
        <v>0</v>
      </c>
    </row>
    <row s="1637" customFormat="1" customHeight="1" ht="11.25" hidden="1">
      <c r="A83" s="2394"/>
      <c r="B83" s="513"/>
      <c r="D83" s="667" t="s">
        <v>336</v>
      </c>
      <c r="E83" s="725" t="s">
        <v>917</v>
      </c>
      <c r="F83" s="662" t="s">
        <v>859</v>
      </c>
      <c r="G83" s="726"/>
      <c r="H83" s="1025"/>
      <c r="I83" s="726"/>
      <c r="J83" s="1025"/>
      <c r="K83" s="291"/>
      <c r="X83" s="760">
        <v>0</v>
      </c>
    </row>
    <row s="1637" customFormat="1" customHeight="1" ht="11.25" hidden="1">
      <c r="A84" s="2394"/>
      <c r="B84" s="513"/>
      <c r="D84" s="667" t="s">
        <v>918</v>
      </c>
      <c r="E84" s="725" t="s">
        <v>919</v>
      </c>
      <c r="F84" s="662" t="s">
        <v>859</v>
      </c>
      <c r="G84" s="726"/>
      <c r="H84" s="1025"/>
      <c r="I84" s="726"/>
      <c r="J84" s="1025"/>
      <c r="K84" s="291"/>
      <c r="X84" s="760">
        <v>0</v>
      </c>
    </row>
    <row s="1637" customFormat="1" customHeight="1" ht="11.25" hidden="1">
      <c r="A85" s="2394"/>
      <c r="B85" s="513"/>
      <c r="D85" s="667" t="s">
        <v>920</v>
      </c>
      <c r="E85" s="725" t="s">
        <v>921</v>
      </c>
      <c r="F85" s="662" t="s">
        <v>859</v>
      </c>
      <c r="G85" s="726"/>
      <c r="H85" s="1025"/>
      <c r="I85" s="726"/>
      <c r="J85" s="1025"/>
      <c r="K85" s="291"/>
      <c r="X85" s="760">
        <v>0</v>
      </c>
    </row>
    <row s="1637" customFormat="1" customHeight="1" ht="11.25" hidden="1">
      <c r="A86" s="2394"/>
      <c r="B86" s="513"/>
      <c r="D86" s="667" t="s">
        <v>922</v>
      </c>
      <c r="E86" s="725" t="s">
        <v>923</v>
      </c>
      <c r="F86" s="662" t="s">
        <v>859</v>
      </c>
      <c r="G86" s="726"/>
      <c r="H86" s="1025"/>
      <c r="I86" s="726"/>
      <c r="J86" s="1025"/>
      <c r="K86" s="291"/>
      <c r="X86" s="760">
        <v>0</v>
      </c>
    </row>
    <row s="1637" customFormat="1" customHeight="1" ht="45" hidden="1">
      <c r="A87" s="2394"/>
      <c r="B87" s="513"/>
      <c r="D87" s="667" t="s">
        <v>91</v>
      </c>
      <c r="E87" s="668" t="s">
        <v>924</v>
      </c>
      <c r="F87" s="662" t="s">
        <v>859</v>
      </c>
      <c r="G87" s="726"/>
      <c r="H87" s="1025"/>
      <c r="I87" s="726"/>
      <c r="J87" s="1025"/>
      <c r="K87" s="291" t="s">
        <v>925</v>
      </c>
      <c r="X87" s="760">
        <v>0</v>
      </c>
    </row>
    <row s="1637" customFormat="1" customHeight="1" ht="11.25" hidden="1">
      <c r="A88" s="2394"/>
      <c r="B88" s="513"/>
      <c r="D88" s="667" t="s">
        <v>754</v>
      </c>
      <c r="E88" s="725" t="s">
        <v>914</v>
      </c>
      <c r="F88" s="662" t="s">
        <v>859</v>
      </c>
      <c r="G88" s="726"/>
      <c r="H88" s="1025"/>
      <c r="I88" s="726"/>
      <c r="J88" s="1025"/>
      <c r="K88" s="291"/>
      <c r="X88" s="760">
        <v>0</v>
      </c>
    </row>
    <row s="1637" customFormat="1" customHeight="1" ht="11.25" hidden="1">
      <c r="A89" s="2394"/>
      <c r="B89" s="513"/>
      <c r="D89" s="667" t="s">
        <v>796</v>
      </c>
      <c r="E89" s="725" t="s">
        <v>915</v>
      </c>
      <c r="F89" s="662" t="s">
        <v>859</v>
      </c>
      <c r="G89" s="726"/>
      <c r="H89" s="1025"/>
      <c r="I89" s="726"/>
      <c r="J89" s="1025"/>
      <c r="K89" s="291"/>
      <c r="X89" s="760">
        <v>0</v>
      </c>
    </row>
    <row s="1637" customFormat="1" customHeight="1" ht="11.25" hidden="1">
      <c r="A90" s="2394"/>
      <c r="B90" s="513"/>
      <c r="D90" s="667" t="s">
        <v>799</v>
      </c>
      <c r="E90" s="725" t="s">
        <v>916</v>
      </c>
      <c r="F90" s="662" t="s">
        <v>859</v>
      </c>
      <c r="G90" s="726"/>
      <c r="H90" s="1025"/>
      <c r="I90" s="726"/>
      <c r="J90" s="1025"/>
      <c r="K90" s="291"/>
      <c r="X90" s="760">
        <v>0</v>
      </c>
    </row>
    <row s="1637" customFormat="1" customHeight="1" ht="11.25" hidden="1">
      <c r="A91" s="2394"/>
      <c r="B91" s="513"/>
      <c r="D91" s="667" t="s">
        <v>877</v>
      </c>
      <c r="E91" s="725" t="s">
        <v>917</v>
      </c>
      <c r="F91" s="662" t="s">
        <v>859</v>
      </c>
      <c r="G91" s="726"/>
      <c r="H91" s="1025"/>
      <c r="I91" s="726"/>
      <c r="J91" s="1025"/>
      <c r="K91" s="291"/>
      <c r="X91" s="760">
        <v>0</v>
      </c>
    </row>
    <row s="1637" customFormat="1" customHeight="1" ht="11.25" hidden="1">
      <c r="A92" s="2394"/>
      <c r="B92" s="513"/>
      <c r="D92" s="667" t="s">
        <v>879</v>
      </c>
      <c r="E92" s="725" t="s">
        <v>919</v>
      </c>
      <c r="F92" s="662" t="s">
        <v>859</v>
      </c>
      <c r="G92" s="726"/>
      <c r="H92" s="1025"/>
      <c r="I92" s="726"/>
      <c r="J92" s="1025"/>
      <c r="K92" s="291"/>
      <c r="X92" s="760">
        <v>0</v>
      </c>
    </row>
    <row s="1637" customFormat="1" customHeight="1" ht="11.25" hidden="1">
      <c r="A93" s="2394"/>
      <c r="B93" s="513"/>
      <c r="D93" s="667" t="s">
        <v>926</v>
      </c>
      <c r="E93" s="725" t="s">
        <v>921</v>
      </c>
      <c r="F93" s="662" t="s">
        <v>859</v>
      </c>
      <c r="G93" s="726"/>
      <c r="H93" s="1025"/>
      <c r="I93" s="726"/>
      <c r="J93" s="1025"/>
      <c r="K93" s="291"/>
      <c r="X93" s="760">
        <v>0</v>
      </c>
    </row>
    <row s="1637" customFormat="1" customHeight="1" ht="11.25" hidden="1">
      <c r="A94" s="2394"/>
      <c r="B94" s="513"/>
      <c r="D94" s="667" t="s">
        <v>927</v>
      </c>
      <c r="E94" s="725" t="s">
        <v>923</v>
      </c>
      <c r="F94" s="662" t="s">
        <v>859</v>
      </c>
      <c r="G94" s="726"/>
      <c r="H94" s="1025"/>
      <c r="I94" s="726"/>
      <c r="J94" s="1025"/>
      <c r="K94" s="291"/>
      <c r="X94" s="760">
        <v>0</v>
      </c>
    </row>
    <row s="1637" customFormat="1" customHeight="1" ht="24.75" hidden="1">
      <c r="A95" s="2394"/>
      <c r="B95" s="513"/>
      <c r="D95" s="667" t="s">
        <v>111</v>
      </c>
      <c r="E95" s="668" t="s">
        <v>928</v>
      </c>
      <c r="F95" s="727" t="s">
        <v>558</v>
      </c>
      <c r="G95" s="729"/>
      <c r="H95" s="1025"/>
      <c r="I95" s="729"/>
      <c r="J95" s="1025"/>
      <c r="K95" s="291" t="s">
        <v>929</v>
      </c>
      <c r="X95" s="760">
        <v>0</v>
      </c>
    </row>
    <row s="1637" customFormat="1" customHeight="1" ht="33.75" hidden="1">
      <c r="A96" s="2394"/>
      <c r="B96" s="513"/>
      <c r="D96" s="667" t="s">
        <v>92</v>
      </c>
      <c r="E96" s="668" t="s">
        <v>930</v>
      </c>
      <c r="F96" s="728" t="s">
        <v>820</v>
      </c>
      <c r="G96" s="730"/>
      <c r="H96" s="1025"/>
      <c r="I96" s="730"/>
      <c r="J96" s="1025"/>
      <c r="K96" s="291"/>
      <c r="X96" s="760">
        <v>0</v>
      </c>
    </row>
    <row s="1637" customFormat="1" customHeight="1" ht="22.5" hidden="1">
      <c r="A97" s="2394"/>
      <c r="B97" s="513" t="s">
        <v>588</v>
      </c>
      <c r="D97" s="667" t="s">
        <v>93</v>
      </c>
      <c r="E97" s="668" t="s">
        <v>931</v>
      </c>
      <c r="F97" s="728" t="s">
        <v>306</v>
      </c>
      <c r="G97" s="387"/>
      <c r="H97" s="1025"/>
      <c r="I97" s="387"/>
      <c r="J97" s="1025"/>
      <c r="K97" s="291" t="s">
        <v>631</v>
      </c>
      <c r="X97" s="760">
        <v>0</v>
      </c>
    </row>
    <row s="1637" customFormat="1" customHeight="1" ht="45" hidden="1">
      <c r="A98" s="2394"/>
      <c r="B98" s="513" t="s">
        <v>588</v>
      </c>
      <c r="D98" s="667" t="s">
        <v>932</v>
      </c>
      <c r="E98" s="669" t="s">
        <v>933</v>
      </c>
      <c r="F98" s="723" t="s">
        <v>306</v>
      </c>
      <c r="G98" s="387"/>
      <c r="H98" s="1025"/>
      <c r="I98" s="387"/>
      <c r="J98" s="1025"/>
      <c r="K98" s="291" t="s">
        <v>631</v>
      </c>
      <c r="X98" s="760">
        <v>0</v>
      </c>
    </row>
    <row s="1637" customFormat="1" customHeight="1" ht="95.25" hidden="1">
      <c r="A99" s="2394"/>
      <c r="B99" s="513" t="s">
        <v>588</v>
      </c>
      <c r="D99" s="667" t="s">
        <v>112</v>
      </c>
      <c r="E99" s="668" t="s">
        <v>934</v>
      </c>
      <c r="F99" s="723" t="s">
        <v>306</v>
      </c>
      <c r="G99" s="387"/>
      <c r="H99" s="1025"/>
      <c r="I99" s="387"/>
      <c r="J99" s="1025"/>
      <c r="K99" s="291" t="s">
        <v>631</v>
      </c>
      <c r="X99" s="760">
        <v>0</v>
      </c>
    </row>
    <row s="1637" customFormat="1" customHeight="1" ht="22.5" hidden="1">
      <c r="A100" s="2394"/>
      <c r="B100" s="513" t="s">
        <v>588</v>
      </c>
      <c r="D100" s="667" t="s">
        <v>150</v>
      </c>
      <c r="E100" s="668" t="s">
        <v>935</v>
      </c>
      <c r="F100" s="723" t="s">
        <v>306</v>
      </c>
      <c r="G100" s="387"/>
      <c r="H100" s="1025"/>
      <c r="I100" s="387"/>
      <c r="J100" s="1025"/>
      <c r="K100" s="291" t="s">
        <v>631</v>
      </c>
      <c r="X100" s="760">
        <v>0</v>
      </c>
    </row>
    <row s="1637" customFormat="1" customHeight="1" ht="11.549999999999999">
      <c r="A101" s="1035"/>
      <c r="B101" s="520"/>
      <c r="D101" s="1036"/>
      <c r="E101" s="1037"/>
      <c r="X101" s="511">
        <v>11</v>
      </c>
    </row>
    <row customHeight="1" ht="22.5" hidden="1">
      <c r="A102" s="538" t="s">
        <v>82</v>
      </c>
      <c r="B102" s="513">
        <v>0</v>
      </c>
      <c r="C102" s="507">
        <v>3</v>
      </c>
      <c r="D102" s="507">
        <v>7</v>
      </c>
      <c r="E102" s="507">
        <v>69</v>
      </c>
      <c r="F102" s="507">
        <v>10</v>
      </c>
      <c r="G102" s="507">
        <v>0</v>
      </c>
      <c r="H102" s="507">
        <v>0</v>
      </c>
      <c r="I102" s="760">
        <v>43</v>
      </c>
      <c r="J102" s="760">
        <v>43</v>
      </c>
      <c r="K102" s="507">
        <v>73</v>
      </c>
      <c r="L102" s="507">
        <v>3</v>
      </c>
      <c r="M102" s="507">
        <v>10</v>
      </c>
      <c r="N102" s="507">
        <v>10</v>
      </c>
      <c r="O102" s="507">
        <v>10</v>
      </c>
      <c r="P102" s="507">
        <v>10</v>
      </c>
      <c r="Q102" s="507">
        <v>10</v>
      </c>
      <c r="R102" s="507">
        <v>10</v>
      </c>
      <c r="S102" s="507">
        <v>10</v>
      </c>
      <c r="T102" s="507">
        <v>10</v>
      </c>
      <c r="U102" s="507">
        <v>10</v>
      </c>
      <c r="V102" s="507">
        <v>10</v>
      </c>
      <c r="W102" s="507">
        <v>10</v>
      </c>
      <c r="X102" s="507">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D53467-E3DC-9774-EF86-829AE67F6EA5}"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M13" sqref="M13"/>
    </sheetView>
  </sheetViews>
  <sheetFormatPr defaultColWidth="9.140625" customHeight="1" defaultRowHeight="11.25"/>
  <cols>
    <col min="1" max="1" style="1855" width="6.421875" hidden="1" customWidth="1"/>
    <col min="2" max="2" style="1855" width="2.00390625" hidden="1" customWidth="1"/>
    <col min="3" max="3" style="1855" width="3.00390625" customWidth="1"/>
    <col min="4" max="4" style="1855" width="4.00390625" customWidth="1"/>
    <col min="5" max="5" style="1855" width="44.00390625" customWidth="1"/>
    <col min="6" max="6" style="1855" width="6.421875" customWidth="1"/>
    <col min="7" max="7" style="1855" width="4.00390625" customWidth="1"/>
    <col min="8" max="8" style="1855" width="5.00390625" customWidth="1"/>
    <col min="9" max="9" style="1855" width="52.00390625" customWidth="1"/>
    <col min="10" max="10" style="1855" width="7.00390625" customWidth="1"/>
    <col min="11" max="11" style="1855" width="3.00390625" customWidth="1"/>
    <col min="12" max="12" style="1855" width="6.00390625" customWidth="1"/>
    <col min="13" max="13" style="1855" width="56.00390625" customWidth="1"/>
    <col min="14" max="14" style="1372" width="8.00390625" customWidth="1"/>
    <col min="15" max="20" style="1626" width="9.140625" hidden="1"/>
    <col min="21" max="24" style="1268" width="9.140625" hidden="1"/>
    <col min="25" max="37" style="1372" width="9.140625" hidden="1"/>
    <col min="38" max="38" style="1372" width="8.00390625" customWidth="1"/>
    <col min="39" max="39" style="1855" width="9.140625" hidden="1"/>
  </cols>
  <sheetData>
    <row customHeight="1" ht="11.25" hidden="1">
      <c r="AM1" s="585" t="s">
        <v>14</v>
      </c>
    </row>
    <row customHeight="1" ht="11.25" hidden="1">
      <c r="AM2" s="585">
        <v>0</v>
      </c>
    </row>
    <row customHeight="1" ht="11.549999999999999">
      <c r="AM3" s="585">
        <v>11</v>
      </c>
    </row>
    <row customHeight="1" ht="35.699999999999996">
      <c r="A4" s="587"/>
      <c r="B4" s="587"/>
      <c r="D4" s="2121"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2"/>
      <c r="F4" s="2122"/>
      <c r="G4" s="2122"/>
      <c r="H4" s="2122"/>
      <c r="I4" s="2123"/>
      <c r="J4" s="586"/>
      <c r="K4" s="586"/>
      <c r="L4" s="586"/>
      <c r="M4" s="586"/>
      <c r="AM4" s="585">
        <v>34</v>
      </c>
    </row>
    <row s="591" customFormat="1" customHeight="1" ht="14.699999999999998">
      <c r="A5" s="587"/>
      <c r="B5" s="587"/>
      <c r="C5" s="587"/>
      <c r="D5" s="2124" t="str">
        <f>IF(org=0,"Не определено",org)</f>
        <v>ПАО "ТГК-2"</v>
      </c>
      <c r="E5" s="2125"/>
      <c r="F5" s="2125"/>
      <c r="G5" s="2125"/>
      <c r="H5" s="2125"/>
      <c r="I5" s="2126"/>
      <c r="J5" s="588"/>
      <c r="K5" s="588"/>
      <c r="L5" s="588"/>
      <c r="M5" s="588"/>
      <c r="N5" s="588"/>
      <c r="O5" s="872"/>
      <c r="P5" s="872"/>
      <c r="Q5" s="872"/>
      <c r="R5" s="872"/>
      <c r="S5" s="872"/>
      <c r="T5" s="872"/>
      <c r="U5" s="1263"/>
      <c r="V5" s="1263"/>
      <c r="W5" s="1263"/>
      <c r="X5" s="1263"/>
      <c r="Y5" s="588"/>
      <c r="Z5" s="588"/>
      <c r="AA5" s="588"/>
      <c r="AB5" s="588"/>
      <c r="AC5" s="588"/>
      <c r="AD5" s="588"/>
      <c r="AE5" s="588"/>
      <c r="AF5" s="588"/>
      <c r="AG5" s="588"/>
      <c r="AH5" s="588"/>
      <c r="AI5" s="588"/>
      <c r="AJ5" s="588"/>
      <c r="AK5" s="588"/>
      <c r="AL5" s="588"/>
      <c r="AM5" s="589">
        <v>14</v>
      </c>
    </row>
    <row s="591" customFormat="1" customHeight="1" ht="6.3">
      <c r="A6" s="2127"/>
      <c r="B6" s="2127"/>
      <c r="C6" s="2127"/>
      <c r="D6" s="2127"/>
      <c r="E6" s="2127"/>
      <c r="F6" s="2127"/>
      <c r="G6" s="590"/>
      <c r="H6" s="590"/>
      <c r="I6" s="590"/>
      <c r="J6" s="590"/>
      <c r="K6" s="590"/>
      <c r="N6" s="592"/>
      <c r="O6" s="1416"/>
      <c r="P6" s="1416"/>
      <c r="Q6" s="1416"/>
      <c r="R6" s="1416"/>
      <c r="S6" s="1416"/>
      <c r="T6" s="1416"/>
      <c r="U6" s="1266"/>
      <c r="V6" s="1266"/>
      <c r="W6" s="1266"/>
      <c r="X6" s="1266"/>
      <c r="Y6" s="592"/>
      <c r="Z6" s="592"/>
      <c r="AA6" s="592"/>
      <c r="AB6" s="592"/>
      <c r="AC6" s="592"/>
      <c r="AD6" s="592"/>
      <c r="AE6" s="592"/>
      <c r="AF6" s="592"/>
      <c r="AG6" s="592"/>
      <c r="AH6" s="592"/>
      <c r="AI6" s="592"/>
      <c r="AJ6" s="592"/>
      <c r="AK6" s="592"/>
      <c r="AL6" s="592"/>
      <c r="AM6" s="591">
        <v>6</v>
      </c>
    </row>
    <row customHeight="1" ht="45.75" hidden="1">
      <c r="E7" s="213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3"/>
      <c r="G7" s="2133"/>
      <c r="H7" s="2133"/>
      <c r="I7" s="2133"/>
      <c r="J7" s="2133"/>
      <c r="K7" s="2133"/>
      <c r="L7" s="2133"/>
      <c r="M7" s="2133"/>
      <c r="AM7" s="585">
        <v>0</v>
      </c>
    </row>
    <row s="591" customFormat="1" customHeight="1" ht="6.3">
      <c r="A8" s="593"/>
      <c r="B8" s="593"/>
      <c r="C8" s="593"/>
      <c r="D8" s="593"/>
      <c r="E8" s="593"/>
      <c r="F8" s="593"/>
      <c r="G8" s="593"/>
      <c r="H8" s="593"/>
      <c r="I8" s="593"/>
      <c r="J8" s="593"/>
      <c r="K8" s="593"/>
      <c r="L8" s="593"/>
      <c r="M8" s="591"/>
      <c r="N8" s="588"/>
      <c r="O8" s="872"/>
      <c r="P8" s="872"/>
      <c r="Q8" s="872"/>
      <c r="R8" s="872"/>
      <c r="S8" s="872"/>
      <c r="T8" s="872"/>
      <c r="U8" s="1263"/>
      <c r="V8" s="1263"/>
      <c r="W8" s="1263"/>
      <c r="X8" s="1263"/>
      <c r="Y8" s="588"/>
      <c r="Z8" s="588"/>
      <c r="AA8" s="588"/>
      <c r="AB8" s="588"/>
      <c r="AC8" s="588"/>
      <c r="AD8" s="588"/>
      <c r="AE8" s="588"/>
      <c r="AF8" s="588"/>
      <c r="AG8" s="588"/>
      <c r="AH8" s="588"/>
      <c r="AI8" s="588"/>
      <c r="AJ8" s="588"/>
      <c r="AK8" s="588"/>
      <c r="AL8" s="588"/>
      <c r="AM8" s="589">
        <v>6</v>
      </c>
    </row>
    <row customHeight="1" ht="18.75">
      <c r="A9" s="2128"/>
      <c r="B9" s="325"/>
      <c r="C9" s="325"/>
      <c r="D9" s="2129" t="s">
        <v>105</v>
      </c>
      <c r="E9" s="2129"/>
      <c r="F9" s="2130" t="s">
        <v>106</v>
      </c>
      <c r="G9" s="2131"/>
      <c r="H9" s="2131"/>
      <c r="I9" s="2131"/>
      <c r="J9" s="2134" t="s">
        <v>107</v>
      </c>
      <c r="K9" s="2134"/>
      <c r="L9" s="2134"/>
      <c r="M9" s="2134"/>
      <c r="AM9" s="585">
        <v>18</v>
      </c>
    </row>
    <row customHeight="1" ht="24">
      <c r="A10" s="2128"/>
      <c r="B10" s="594"/>
      <c r="C10" s="527"/>
      <c r="D10" s="525" t="s">
        <v>88</v>
      </c>
      <c r="E10" s="525" t="s">
        <v>89</v>
      </c>
      <c r="F10" s="525" t="s">
        <v>108</v>
      </c>
      <c r="G10" s="2135" t="s">
        <v>88</v>
      </c>
      <c r="H10" s="2136"/>
      <c r="I10" s="525" t="s">
        <v>89</v>
      </c>
      <c r="J10" s="525" t="s">
        <v>108</v>
      </c>
      <c r="K10" s="2135" t="s">
        <v>88</v>
      </c>
      <c r="L10" s="2136"/>
      <c r="M10" s="525" t="s">
        <v>89</v>
      </c>
      <c r="N10" s="1629"/>
      <c r="AM10" s="585">
        <v>23</v>
      </c>
    </row>
    <row s="1855" customFormat="1" customHeight="1" ht="11.25" hidden="1">
      <c r="A11" s="595"/>
      <c r="B11" s="595"/>
      <c r="C11" s="595"/>
      <c r="D11" s="596" t="s">
        <v>109</v>
      </c>
      <c r="E11" s="596" t="s">
        <v>110</v>
      </c>
      <c r="F11" s="596" t="s">
        <v>90</v>
      </c>
      <c r="G11" s="2117" t="s">
        <v>91</v>
      </c>
      <c r="H11" s="2118"/>
      <c r="I11" s="596" t="s">
        <v>111</v>
      </c>
      <c r="J11" s="596" t="s">
        <v>92</v>
      </c>
      <c r="K11" s="2119" t="s">
        <v>93</v>
      </c>
      <c r="L11" s="2120"/>
      <c r="M11" s="596" t="s">
        <v>112</v>
      </c>
      <c r="N11" s="1628"/>
      <c r="O11" s="1415"/>
      <c r="P11" s="1417"/>
      <c r="Q11" s="1417"/>
      <c r="R11" s="1417"/>
      <c r="S11" s="1417"/>
      <c r="T11" s="1417"/>
      <c r="U11" s="1267"/>
      <c r="V11" s="1267"/>
      <c r="W11" s="1267"/>
      <c r="X11" s="1267"/>
      <c r="Y11" s="597"/>
      <c r="Z11" s="597"/>
      <c r="AA11" s="597"/>
      <c r="AB11" s="597"/>
      <c r="AC11" s="597"/>
      <c r="AD11" s="597"/>
      <c r="AE11" s="597"/>
      <c r="AF11" s="597"/>
      <c r="AG11" s="597"/>
      <c r="AH11" s="597"/>
      <c r="AI11" s="597"/>
      <c r="AJ11" s="597"/>
      <c r="AK11" s="597"/>
      <c r="AL11" s="597"/>
      <c r="AM11" s="598">
        <v>0</v>
      </c>
    </row>
    <row customHeight="1" ht="1.05">
      <c r="A12" s="599"/>
      <c r="B12" s="600"/>
      <c r="C12" s="600"/>
      <c r="D12" s="601"/>
      <c r="E12" s="369"/>
      <c r="F12" s="602"/>
      <c r="G12" s="1061"/>
      <c r="H12" s="1061"/>
      <c r="I12" s="602"/>
      <c r="J12" s="602"/>
      <c r="K12" s="176"/>
      <c r="L12" s="369"/>
      <c r="M12" s="603"/>
      <c r="N12" s="1629"/>
      <c r="O12" s="1415" t="s">
        <v>113</v>
      </c>
      <c r="P12" s="1415" t="s">
        <v>114</v>
      </c>
      <c r="Q12" s="1415" t="s">
        <v>115</v>
      </c>
      <c r="R12" s="1415" t="s">
        <v>116</v>
      </c>
      <c r="AM12" s="585">
        <v>1</v>
      </c>
    </row>
    <row s="1855" customFormat="1" customHeight="1" ht="15.75">
      <c r="A13" s="295"/>
      <c r="B13" s="295"/>
      <c r="C13" s="528"/>
      <c r="D13" s="2110" t="s">
        <v>109</v>
      </c>
      <c r="E13" s="2111" t="str">
        <f>INDEX(VD_NAME_LIST,MATCH("4190072",VD_ID_LIST,0))</f>
        <v>Подключение (технологическое присоединение) к системе теплоснабжения</v>
      </c>
      <c r="F13" s="2114" t="s">
        <v>66</v>
      </c>
      <c r="G13" s="2115"/>
      <c r="H13" s="2116">
        <v>1</v>
      </c>
      <c r="I13" s="2107" t="str">
        <f>IF(U13="","",INDEX(TERRITORY_MR_LIST,MATCH(U13,TERRITORY_LIST_ID,0)))</f>
        <v>Территория 1</v>
      </c>
      <c r="J13" s="2109" t="s">
        <v>66</v>
      </c>
      <c r="K13" s="604"/>
      <c r="L13" s="529" t="s">
        <v>109</v>
      </c>
      <c r="M13" s="2632" t="s">
        <v>117</v>
      </c>
      <c r="N13" s="814"/>
      <c r="O13" s="1418" t="s">
        <v>118</v>
      </c>
      <c r="P13" s="1415" t="str">
        <f>$E$13</f>
        <v>Подключение (технологическое присоединение) к системе теплоснабжения</v>
      </c>
      <c r="Q13" s="1415" t="str">
        <f>IF($F$13="нет","без дифференциации",$I$13)</f>
        <v>Территория 1</v>
      </c>
      <c r="R13" s="1415" t="str">
        <f>IF($J$13="нет","без дифференциации",M13)</f>
        <v>Вологодская ТЭЦ</v>
      </c>
      <c r="S13" s="1418"/>
      <c r="T13" s="1418"/>
      <c r="U13" s="1268" t="s">
        <v>98</v>
      </c>
      <c r="V13" s="1268" t="s">
        <v>119</v>
      </c>
      <c r="W13" s="1268"/>
      <c r="X13" s="1268"/>
      <c r="Y13" s="606" t="s">
        <v>120</v>
      </c>
      <c r="Z13" s="606">
        <v>1705000</v>
      </c>
      <c r="AA13" s="606"/>
      <c r="AB13" s="606"/>
      <c r="AC13" s="606"/>
      <c r="AD13" s="606"/>
      <c r="AE13" s="606"/>
      <c r="AF13" s="606"/>
      <c r="AG13" s="606"/>
      <c r="AH13" s="606"/>
      <c r="AI13" s="606"/>
      <c r="AJ13" s="606"/>
      <c r="AK13" s="606"/>
      <c r="AL13" s="606"/>
      <c r="AM13" s="608">
        <v>15</v>
      </c>
    </row>
    <row s="1855" customFormat="1" customHeight="1" ht="15.75">
      <c r="A14" s="295"/>
      <c r="B14" s="295"/>
      <c r="C14" s="178"/>
      <c r="D14" s="2110"/>
      <c r="E14" s="2112"/>
      <c r="F14" s="2109"/>
      <c r="G14" s="2115"/>
      <c r="H14" s="2116"/>
      <c r="I14" s="2108"/>
      <c r="J14" s="2109"/>
      <c r="K14" s="423"/>
      <c r="L14" s="179"/>
      <c r="M14" s="609" t="s">
        <v>121</v>
      </c>
      <c r="N14" s="814"/>
      <c r="O14" s="1418"/>
      <c r="P14" s="1415"/>
      <c r="Q14" s="1415"/>
      <c r="R14" s="1415"/>
      <c r="S14" s="1418"/>
      <c r="T14" s="1418"/>
      <c r="U14" s="1268"/>
      <c r="V14" s="1268"/>
      <c r="W14" s="1268"/>
      <c r="X14" s="1268"/>
      <c r="Y14" s="606"/>
      <c r="Z14" s="606"/>
      <c r="AA14" s="606"/>
      <c r="AB14" s="606"/>
      <c r="AC14" s="606"/>
      <c r="AD14" s="606"/>
      <c r="AE14" s="606"/>
      <c r="AF14" s="606"/>
      <c r="AG14" s="606"/>
      <c r="AH14" s="606"/>
      <c r="AI14" s="606"/>
      <c r="AJ14" s="606"/>
      <c r="AK14" s="606"/>
      <c r="AL14" s="606"/>
      <c r="AM14" s="608">
        <v>15</v>
      </c>
    </row>
    <row s="1855" customFormat="1" customHeight="1" ht="15.75">
      <c r="A15" s="295"/>
      <c r="B15" s="295"/>
      <c r="C15" s="178"/>
      <c r="D15" s="2110"/>
      <c r="E15" s="2113"/>
      <c r="F15" s="2109"/>
      <c r="G15" s="1062"/>
      <c r="H15" s="1063"/>
      <c r="I15" s="582" t="s">
        <v>122</v>
      </c>
      <c r="J15" s="179"/>
      <c r="K15" s="179"/>
      <c r="L15" s="179"/>
      <c r="M15" s="610"/>
      <c r="N15" s="814"/>
      <c r="O15" s="1418"/>
      <c r="P15" s="1415"/>
      <c r="Q15" s="1415"/>
      <c r="R15" s="1415"/>
      <c r="S15" s="1418"/>
      <c r="T15" s="1418"/>
      <c r="U15" s="1268"/>
      <c r="V15" s="1268"/>
      <c r="W15" s="1268"/>
      <c r="X15" s="1268"/>
      <c r="Y15" s="606"/>
      <c r="Z15" s="606"/>
      <c r="AA15" s="606"/>
      <c r="AB15" s="606"/>
      <c r="AC15" s="606"/>
      <c r="AD15" s="606"/>
      <c r="AE15" s="606"/>
      <c r="AF15" s="606"/>
      <c r="AG15" s="606"/>
      <c r="AH15" s="606"/>
      <c r="AI15" s="606"/>
      <c r="AJ15" s="606"/>
      <c r="AK15" s="606"/>
      <c r="AL15" s="606"/>
      <c r="AM15" s="608">
        <v>15</v>
      </c>
    </row>
    <row customHeight="1" ht="15.75">
      <c r="A16" s="611"/>
      <c r="B16" s="137"/>
      <c r="C16" s="808"/>
      <c r="D16" s="423"/>
      <c r="E16" s="573" t="s">
        <v>123</v>
      </c>
      <c r="F16" s="179"/>
      <c r="G16" s="179"/>
      <c r="H16" s="179"/>
      <c r="I16" s="179"/>
      <c r="J16" s="179"/>
      <c r="K16" s="179" t="s">
        <v>22</v>
      </c>
      <c r="L16" s="179"/>
      <c r="M16" s="610"/>
      <c r="N16" s="1629"/>
      <c r="AM16" s="585">
        <v>15</v>
      </c>
    </row>
    <row customHeight="1" ht="11.25" hidden="1">
      <c r="A17" s="585" t="s">
        <v>82</v>
      </c>
      <c r="B17" s="585">
        <v>0</v>
      </c>
      <c r="C17" s="585">
        <v>3</v>
      </c>
      <c r="D17" s="585">
        <v>4</v>
      </c>
      <c r="E17" s="585">
        <v>44</v>
      </c>
      <c r="F17" s="585">
        <v>6</v>
      </c>
      <c r="G17" s="585">
        <v>4</v>
      </c>
      <c r="H17" s="585">
        <v>5</v>
      </c>
      <c r="I17" s="585">
        <v>52</v>
      </c>
      <c r="J17" s="585">
        <v>6</v>
      </c>
      <c r="K17" s="585">
        <v>3</v>
      </c>
      <c r="L17" s="585">
        <v>6</v>
      </c>
      <c r="M17" s="585">
        <v>56</v>
      </c>
      <c r="N17" s="586">
        <v>8</v>
      </c>
      <c r="O17" s="1415">
        <v>0</v>
      </c>
      <c r="P17" s="1415">
        <v>0</v>
      </c>
      <c r="Q17" s="1415">
        <v>0</v>
      </c>
      <c r="R17" s="1415">
        <v>0</v>
      </c>
      <c r="S17" s="1415">
        <v>0</v>
      </c>
      <c r="T17" s="1415">
        <v>0</v>
      </c>
      <c r="U17" s="1265">
        <v>0</v>
      </c>
      <c r="V17" s="1265">
        <v>0</v>
      </c>
      <c r="W17" s="1265">
        <v>0</v>
      </c>
      <c r="X17" s="1265">
        <v>0</v>
      </c>
      <c r="Y17" s="586">
        <v>0</v>
      </c>
      <c r="Z17" s="586">
        <v>0</v>
      </c>
      <c r="AA17" s="586">
        <v>0</v>
      </c>
      <c r="AB17" s="586">
        <v>0</v>
      </c>
      <c r="AC17" s="586">
        <v>0</v>
      </c>
      <c r="AD17" s="586">
        <v>0</v>
      </c>
      <c r="AE17" s="586">
        <v>0</v>
      </c>
      <c r="AF17" s="586">
        <v>0</v>
      </c>
      <c r="AG17" s="586">
        <v>0</v>
      </c>
      <c r="AH17" s="586">
        <v>0</v>
      </c>
      <c r="AI17" s="586">
        <v>0</v>
      </c>
      <c r="AJ17" s="586">
        <v>0</v>
      </c>
      <c r="AK17" s="586">
        <v>0</v>
      </c>
      <c r="AL17" s="586">
        <v>8</v>
      </c>
      <c r="AM17" s="585">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F17075-6B52-1BFC-F0D6-7EE82AE98DAE}"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I38" sqref="I38"/>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25.7109375" hidden="1" customWidth="1"/>
    <col min="8" max="8" style="1637" width="33.7109375" hidden="1" customWidth="1"/>
    <col min="9" max="9" style="1637" width="25.7109375" customWidth="1"/>
    <col min="10" max="10" style="1637" width="33.00390625" customWidth="1"/>
    <col min="11" max="11" style="1368" width="93.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368" customFormat="1" customHeight="1" ht="15" hidden="1">
      <c r="C2" s="674"/>
      <c r="U2" s="422"/>
      <c r="V2" s="419">
        <v>0</v>
      </c>
    </row>
    <row customHeight="1" ht="22.5" hidden="1">
      <c r="A3" s="507"/>
      <c r="B3" s="2399"/>
      <c r="C3" s="2400" t="s">
        <v>689</v>
      </c>
      <c r="D3" s="691" t="str">
        <f>B3&amp;".1"</f>
        <v>.1</v>
      </c>
      <c r="E3" s="692" t="s">
        <v>936</v>
      </c>
      <c r="F3" s="693" t="s">
        <v>306</v>
      </c>
      <c r="G3" s="688"/>
      <c r="H3" s="403"/>
      <c r="I3" s="688"/>
      <c r="J3" s="403"/>
      <c r="K3" s="291" t="s">
        <v>937</v>
      </c>
      <c r="V3" s="507">
        <v>0</v>
      </c>
    </row>
    <row customHeight="1" ht="15" hidden="1">
      <c r="A4" s="507"/>
      <c r="B4" s="2399"/>
      <c r="C4" s="2400"/>
      <c r="D4" s="691" t="str">
        <f>B3&amp;".2"</f>
        <v>.2</v>
      </c>
      <c r="E4" s="692" t="s">
        <v>938</v>
      </c>
      <c r="F4" s="693" t="s">
        <v>306</v>
      </c>
      <c r="G4" s="1740" t="s">
        <v>22</v>
      </c>
      <c r="H4" s="403"/>
      <c r="I4" s="1740" t="s">
        <v>22</v>
      </c>
      <c r="J4" s="403"/>
      <c r="K4" s="291" t="s">
        <v>939</v>
      </c>
      <c r="V4" s="507">
        <v>0</v>
      </c>
    </row>
    <row s="1368" customFormat="1" customHeight="1" ht="15" hidden="1">
      <c r="C5" s="674"/>
      <c r="U5" s="422"/>
      <c r="V5" s="419">
        <v>0</v>
      </c>
    </row>
    <row customHeight="1" ht="22.5" hidden="1">
      <c r="A6" s="507"/>
      <c r="B6" s="2399"/>
      <c r="C6" s="2400" t="s">
        <v>689</v>
      </c>
      <c r="D6" s="691" t="str">
        <f>B6&amp;".1"</f>
        <v>.1</v>
      </c>
      <c r="E6" s="692" t="s">
        <v>940</v>
      </c>
      <c r="F6" s="693" t="s">
        <v>306</v>
      </c>
      <c r="G6" s="688"/>
      <c r="H6" s="403"/>
      <c r="I6" s="688"/>
      <c r="J6" s="403"/>
      <c r="K6" s="291" t="s">
        <v>941</v>
      </c>
      <c r="V6" s="507">
        <v>0</v>
      </c>
    </row>
    <row customHeight="1" ht="15" hidden="1">
      <c r="A7" s="507"/>
      <c r="B7" s="2399"/>
      <c r="C7" s="2400"/>
      <c r="D7" s="691" t="str">
        <f>B6&amp;".2"</f>
        <v>.2</v>
      </c>
      <c r="E7" s="692" t="s">
        <v>938</v>
      </c>
      <c r="F7" s="693" t="s">
        <v>306</v>
      </c>
      <c r="G7" s="1740" t="s">
        <v>22</v>
      </c>
      <c r="H7" s="403"/>
      <c r="I7" s="1740" t="s">
        <v>22</v>
      </c>
      <c r="J7" s="403"/>
      <c r="K7" s="291" t="s">
        <v>939</v>
      </c>
      <c r="V7" s="507">
        <v>0</v>
      </c>
    </row>
    <row s="1368" customFormat="1" customHeight="1" ht="15" hidden="1">
      <c r="C8" s="674"/>
      <c r="U8" s="422"/>
      <c r="V8" s="419">
        <v>0</v>
      </c>
    </row>
    <row customHeight="1" ht="22.5" hidden="1">
      <c r="A9" s="507"/>
      <c r="B9" s="2399"/>
      <c r="C9" s="2400" t="s">
        <v>689</v>
      </c>
      <c r="D9" s="691" t="str">
        <f>B9&amp;".1"</f>
        <v>.1</v>
      </c>
      <c r="E9" s="692" t="s">
        <v>942</v>
      </c>
      <c r="F9" s="693" t="s">
        <v>306</v>
      </c>
      <c r="G9" s="699" t="s">
        <v>22</v>
      </c>
      <c r="H9" s="403" t="s">
        <v>22</v>
      </c>
      <c r="I9" s="2638" t="s">
        <v>22</v>
      </c>
      <c r="J9" s="2639" t="s">
        <v>22</v>
      </c>
      <c r="K9" s="291"/>
      <c r="V9" s="507">
        <v>0</v>
      </c>
    </row>
    <row customHeight="1" ht="15" hidden="1">
      <c r="A10" s="507"/>
      <c r="B10" s="2399"/>
      <c r="C10" s="2400"/>
      <c r="D10" s="691" t="str">
        <f>B9&amp;".2"</f>
        <v>.2</v>
      </c>
      <c r="E10" s="692" t="s">
        <v>943</v>
      </c>
      <c r="F10" s="693" t="s">
        <v>306</v>
      </c>
      <c r="G10" s="1734" t="s">
        <v>22</v>
      </c>
      <c r="H10" s="403" t="s">
        <v>22</v>
      </c>
      <c r="I10" s="2640" t="s">
        <v>22</v>
      </c>
      <c r="J10" s="2639" t="s">
        <v>22</v>
      </c>
      <c r="K10" s="291" t="s">
        <v>944</v>
      </c>
      <c r="V10" s="507">
        <v>0</v>
      </c>
    </row>
    <row customHeight="1" ht="15" hidden="1">
      <c r="A11" s="507"/>
      <c r="B11" s="2399"/>
      <c r="C11" s="2400"/>
      <c r="D11" s="691" t="str">
        <f>B9&amp;".3"</f>
        <v>.3</v>
      </c>
      <c r="E11" s="692" t="s">
        <v>945</v>
      </c>
      <c r="F11" s="693" t="s">
        <v>306</v>
      </c>
      <c r="G11" s="1734" t="s">
        <v>22</v>
      </c>
      <c r="H11" s="403" t="s">
        <v>22</v>
      </c>
      <c r="I11" s="2640" t="s">
        <v>22</v>
      </c>
      <c r="J11" s="2639" t="s">
        <v>22</v>
      </c>
      <c r="K11" s="291" t="s">
        <v>946</v>
      </c>
      <c r="V11" s="507">
        <v>0</v>
      </c>
    </row>
    <row s="1368" customFormat="1" customHeight="1" ht="15" hidden="1">
      <c r="C12" s="674"/>
      <c r="U12" s="422"/>
      <c r="V12" s="419">
        <v>0</v>
      </c>
    </row>
    <row customHeight="1" ht="33.75" hidden="1">
      <c r="A13" s="507"/>
      <c r="B13" s="2399"/>
      <c r="C13" s="2400" t="s">
        <v>689</v>
      </c>
      <c r="D13" s="691" t="str">
        <f>B13&amp;".1"</f>
        <v>.1</v>
      </c>
      <c r="E13" s="692" t="s">
        <v>947</v>
      </c>
      <c r="F13" s="693" t="s">
        <v>306</v>
      </c>
      <c r="G13" s="699" t="s">
        <v>22</v>
      </c>
      <c r="H13" s="403" t="s">
        <v>22</v>
      </c>
      <c r="I13" s="2638" t="s">
        <v>22</v>
      </c>
      <c r="J13" s="2639" t="s">
        <v>22</v>
      </c>
      <c r="K13" s="291" t="s">
        <v>948</v>
      </c>
      <c r="V13" s="507">
        <v>0</v>
      </c>
    </row>
    <row customHeight="1" ht="15" hidden="1">
      <c r="B14" s="2399"/>
      <c r="C14" s="2400"/>
      <c r="D14" s="691" t="str">
        <f>B13&amp;".2"</f>
        <v>.2</v>
      </c>
      <c r="E14" s="692" t="s">
        <v>949</v>
      </c>
      <c r="F14" s="693" t="s">
        <v>306</v>
      </c>
      <c r="G14" s="1734" t="s">
        <v>22</v>
      </c>
      <c r="H14" s="403" t="s">
        <v>22</v>
      </c>
      <c r="I14" s="2640" t="s">
        <v>22</v>
      </c>
      <c r="J14" s="2639" t="s">
        <v>22</v>
      </c>
      <c r="K14" s="291" t="s">
        <v>950</v>
      </c>
      <c r="V14" s="507">
        <v>0</v>
      </c>
    </row>
    <row s="1368" customFormat="1" customHeight="1" ht="15" hidden="1">
      <c r="C15" s="674"/>
      <c r="U15" s="422"/>
      <c r="V15" s="419">
        <v>0</v>
      </c>
    </row>
    <row s="1368" customFormat="1" customHeight="1" ht="15" hidden="1">
      <c r="C16" s="674"/>
      <c r="U16" s="422"/>
      <c r="V16" s="419">
        <v>0</v>
      </c>
    </row>
    <row s="1368" customFormat="1" customHeight="1" ht="15" hidden="1">
      <c r="C17" s="674"/>
      <c r="U17" s="422"/>
      <c r="V17" s="419">
        <v>0</v>
      </c>
    </row>
    <row s="1368" customFormat="1" customHeight="1" ht="15" hidden="1">
      <c r="C18" s="674"/>
      <c r="U18" s="422"/>
      <c r="V18" s="419">
        <v>0</v>
      </c>
    </row>
    <row s="1368" customFormat="1" customHeight="1" ht="15" hidden="1">
      <c r="C19" s="674"/>
      <c r="U19" s="422"/>
      <c r="V19" s="419">
        <v>0</v>
      </c>
    </row>
    <row s="1368" customFormat="1" customHeight="1" ht="15" hidden="1">
      <c r="C20" s="674"/>
      <c r="U20" s="422"/>
      <c r="V20" s="419">
        <v>0</v>
      </c>
    </row>
    <row customHeight="1" ht="15.75">
      <c r="C21" s="178"/>
      <c r="D21" s="511"/>
      <c r="E21" s="511"/>
      <c r="F21" s="511"/>
      <c r="G21" s="511"/>
      <c r="H21" s="511"/>
      <c r="I21" s="511"/>
      <c r="J21" s="511"/>
      <c r="V21" s="507">
        <v>15</v>
      </c>
    </row>
    <row customHeight="1" ht="23.25">
      <c r="C22" s="178"/>
      <c r="D22"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9"/>
      <c r="F22" s="2239"/>
      <c r="G22" s="2239"/>
      <c r="H22" s="2239"/>
      <c r="I22" s="2239"/>
      <c r="J22" s="678"/>
      <c r="K22" s="539"/>
      <c r="V22" s="507">
        <v>22</v>
      </c>
    </row>
    <row customHeight="1" ht="15.75">
      <c r="C23" s="178"/>
      <c r="D23" s="2178" t="str">
        <f>IF(org=0,"Не определено",org)</f>
        <v>ПАО "ТГК-2"</v>
      </c>
      <c r="E23" s="2178"/>
      <c r="F23" s="2178"/>
      <c r="G23" s="2178"/>
      <c r="H23" s="2178"/>
      <c r="I23" s="2178"/>
      <c r="J23" s="678"/>
      <c r="K23" s="539"/>
      <c r="V23" s="507">
        <v>15</v>
      </c>
    </row>
    <row customHeight="1" ht="15.75">
      <c r="C24" s="178"/>
      <c r="D24" s="511"/>
      <c r="E24" s="511"/>
      <c r="F24" s="511"/>
      <c r="G24" s="539">
        <v>22</v>
      </c>
      <c r="H24" s="754"/>
      <c r="I24" s="539">
        <v>22</v>
      </c>
      <c r="J24" s="754"/>
      <c r="V24" s="507">
        <v>15</v>
      </c>
    </row>
    <row s="1637" customFormat="1" customHeight="1" ht="1.05">
      <c r="A25" s="761"/>
      <c r="C25" s="178"/>
      <c r="D25" s="511"/>
      <c r="E25" s="511"/>
      <c r="F25" s="511"/>
      <c r="G25" s="539"/>
      <c r="H25" s="754"/>
      <c r="I25" s="539" t="s">
        <v>118</v>
      </c>
      <c r="J25" s="754"/>
      <c r="K25" s="419"/>
      <c r="U25" s="677"/>
      <c r="V25" s="760">
        <v>1</v>
      </c>
    </row>
    <row customHeight="1" ht="15.75">
      <c r="C26" s="178"/>
      <c r="D26" s="713"/>
      <c r="E26" s="2369" t="s">
        <v>105</v>
      </c>
      <c r="F26" s="2370"/>
      <c r="G26" s="2397" t="str">
        <f>IF(G25="","",INDEX(DIFFERENTIATION_UNMERGE_VD,MATCH(G25,DIFFERENTIATION_ID_DIFF,0)))</f>
        <v/>
      </c>
      <c r="H26" s="2398"/>
      <c r="I26" s="2397" t="str">
        <f>IF(I25="","",INDEX(DIFFERENTIATION_UNMERGE_VD,MATCH(I25,DIFFERENTIATION_ID_DIFF,0)))</f>
        <v>Подключение (технологическое присоединение) к системе теплоснабжения</v>
      </c>
      <c r="J26" s="2398"/>
      <c r="K26" s="2177" t="s">
        <v>301</v>
      </c>
      <c r="V26" s="507">
        <v>15</v>
      </c>
    </row>
    <row s="1637" customFormat="1" customHeight="1" ht="15.75">
      <c r="A27" s="761"/>
      <c r="C27" s="178"/>
      <c r="D27" s="713"/>
      <c r="E27" s="2369" t="s">
        <v>564</v>
      </c>
      <c r="F27" s="2370"/>
      <c r="G27" s="2397" t="str">
        <f>IF(G25="","",INDEX(DIFFERENTIATION_UNMERGE_AREA,MATCH(G25,DIFFERENTIATION_ID_DIFF,0)))</f>
        <v/>
      </c>
      <c r="H27" s="2398"/>
      <c r="I27" s="2397" t="str">
        <f>IF(I25="","",INDEX(DIFFERENTIATION_UNMERGE_AREA,MATCH(I25,DIFFERENTIATION_ID_DIFF,0)))</f>
        <v>Территория 1</v>
      </c>
      <c r="J27" s="2398"/>
      <c r="K27" s="2197"/>
      <c r="U27" s="677"/>
      <c r="V27" s="760">
        <v>15</v>
      </c>
    </row>
    <row s="1637" customFormat="1" customHeight="1" ht="15.75">
      <c r="A28" s="761"/>
      <c r="C28" s="178"/>
      <c r="D28" s="713"/>
      <c r="E28" s="2369" t="s">
        <v>565</v>
      </c>
      <c r="F28" s="2370"/>
      <c r="G28" s="2397" t="str">
        <f>IF(G25="","",INDEX(DIFFERENTIATION_UNMERGE_SYSTEM,MATCH(G25,DIFFERENTIATION_ID_DIFF,0)))</f>
        <v/>
      </c>
      <c r="H28" s="2398"/>
      <c r="I28" s="2397" t="str">
        <f>IF(I25="","",INDEX(DIFFERENTIATION_UNMERGE_SYSTEM,MATCH(I25,DIFFERENTIATION_ID_DIFF,0)))</f>
        <v>Вологодская ТЭЦ</v>
      </c>
      <c r="J28" s="2398"/>
      <c r="K28" s="2197"/>
      <c r="U28" s="677"/>
      <c r="V28" s="760">
        <v>15</v>
      </c>
    </row>
    <row s="1637" customFormat="1" customHeight="1" ht="15.75">
      <c r="A29" s="761"/>
      <c r="C29" s="178"/>
      <c r="D29" s="2371" t="s">
        <v>300</v>
      </c>
      <c r="E29" s="2372"/>
      <c r="F29" s="2372"/>
      <c r="G29" s="889"/>
      <c r="H29" s="889"/>
      <c r="I29" s="889"/>
      <c r="J29" s="890"/>
      <c r="K29" s="2197"/>
      <c r="U29" s="677"/>
      <c r="V29" s="760">
        <v>15</v>
      </c>
    </row>
    <row customHeight="1" ht="35.699999999999996">
      <c r="C30" s="178"/>
      <c r="D30" s="763" t="s">
        <v>88</v>
      </c>
      <c r="E30" s="762" t="s">
        <v>302</v>
      </c>
      <c r="F30" s="762" t="s">
        <v>566</v>
      </c>
      <c r="G30" s="810" t="s">
        <v>303</v>
      </c>
      <c r="H30" s="809" t="s">
        <v>390</v>
      </c>
      <c r="I30" s="686" t="s">
        <v>303</v>
      </c>
      <c r="J30" s="467" t="s">
        <v>390</v>
      </c>
      <c r="K30" s="2203"/>
      <c r="V30" s="507">
        <v>34</v>
      </c>
    </row>
    <row customHeight="1" ht="15" hidden="1">
      <c r="C31" s="178"/>
      <c r="D31" s="595"/>
      <c r="E31" s="595"/>
      <c r="F31" s="595"/>
      <c r="G31" s="661"/>
      <c r="H31" s="661"/>
      <c r="I31" s="661"/>
      <c r="J31" s="661"/>
      <c r="K31" s="291"/>
      <c r="V31" s="507">
        <v>0</v>
      </c>
    </row>
    <row customHeight="1" ht="24">
      <c r="A32" s="507"/>
      <c r="B32" s="507" t="s">
        <v>951</v>
      </c>
      <c r="C32" s="528"/>
      <c r="D32" s="694">
        <v>1</v>
      </c>
      <c r="E32" s="695" t="s">
        <v>952</v>
      </c>
      <c r="F32" s="693" t="s">
        <v>306</v>
      </c>
      <c r="G32" s="815" t="s">
        <v>306</v>
      </c>
      <c r="H32" s="815" t="s">
        <v>306</v>
      </c>
      <c r="I32" s="693" t="s">
        <v>306</v>
      </c>
      <c r="J32" s="693" t="s">
        <v>306</v>
      </c>
      <c r="K32" s="291"/>
      <c r="V32" s="507">
        <v>23</v>
      </c>
    </row>
    <row customHeight="1" ht="11.549999999999999">
      <c r="A33" s="507"/>
      <c r="C33" s="507"/>
      <c r="D33" s="349"/>
      <c r="E33" s="582" t="s">
        <v>586</v>
      </c>
      <c r="F33" s="574"/>
      <c r="G33" s="574"/>
      <c r="H33" s="574"/>
      <c r="I33" s="574"/>
      <c r="J33" s="574"/>
      <c r="K33" s="575"/>
      <c r="U33" s="507"/>
      <c r="V33" s="507">
        <v>11</v>
      </c>
    </row>
    <row customHeight="1" ht="24">
      <c r="A34" s="507"/>
      <c r="B34" s="583" t="s">
        <v>636</v>
      </c>
      <c r="C34" s="528"/>
      <c r="D34" s="694">
        <v>2</v>
      </c>
      <c r="E34" s="695" t="s">
        <v>953</v>
      </c>
      <c r="F34" s="822" t="s">
        <v>306</v>
      </c>
      <c r="G34" s="822" t="s">
        <v>306</v>
      </c>
      <c r="H34" s="822" t="s">
        <v>306</v>
      </c>
      <c r="I34" s="693"/>
      <c r="J34" s="693"/>
      <c r="K34" s="291"/>
      <c r="V34" s="507">
        <v>23</v>
      </c>
    </row>
    <row customHeight="1" ht="11.549999999999999">
      <c r="A35" s="507"/>
      <c r="C35" s="507"/>
      <c r="D35" s="349"/>
      <c r="E35" s="582" t="s">
        <v>954</v>
      </c>
      <c r="F35" s="574"/>
      <c r="G35" s="696"/>
      <c r="H35" s="574"/>
      <c r="I35" s="696"/>
      <c r="J35" s="574"/>
      <c r="K35" s="575"/>
      <c r="U35" s="507"/>
      <c r="V35" s="507">
        <v>11</v>
      </c>
    </row>
    <row customHeight="1" ht="71.25">
      <c r="A36" s="507"/>
      <c r="B36" s="507" t="s">
        <v>955</v>
      </c>
      <c r="C36" s="528"/>
      <c r="D36" s="694">
        <v>3</v>
      </c>
      <c r="E36" s="695" t="s">
        <v>956</v>
      </c>
      <c r="F36" s="697" t="s">
        <v>306</v>
      </c>
      <c r="G36" s="816" t="s">
        <v>957</v>
      </c>
      <c r="H36" s="815" t="s">
        <v>306</v>
      </c>
      <c r="I36" s="526" t="s">
        <v>958</v>
      </c>
      <c r="J36" s="693" t="s">
        <v>306</v>
      </c>
      <c r="K36" s="291" t="s">
        <v>959</v>
      </c>
      <c r="V36" s="507">
        <v>68</v>
      </c>
    </row>
    <row customHeight="1" ht="11.549999999999999">
      <c r="A37" s="507"/>
      <c r="C37" s="507"/>
      <c r="D37" s="349"/>
      <c r="E37" s="582" t="s">
        <v>960</v>
      </c>
      <c r="F37" s="574"/>
      <c r="G37" s="696"/>
      <c r="H37" s="696"/>
      <c r="I37" s="696"/>
      <c r="J37" s="696"/>
      <c r="K37" s="575"/>
      <c r="U37" s="507"/>
      <c r="V37" s="507">
        <v>11</v>
      </c>
    </row>
    <row customHeight="1" ht="71.25">
      <c r="A38" s="507"/>
      <c r="B38" s="507" t="s">
        <v>961</v>
      </c>
      <c r="C38" s="528"/>
      <c r="D38" s="694">
        <v>4</v>
      </c>
      <c r="E38" s="695" t="s">
        <v>962</v>
      </c>
      <c r="F38" s="697" t="s">
        <v>306</v>
      </c>
      <c r="G38" s="816" t="s">
        <v>957</v>
      </c>
      <c r="H38" s="817" t="s">
        <v>306</v>
      </c>
      <c r="I38" s="526" t="s">
        <v>958</v>
      </c>
      <c r="J38" s="523" t="s">
        <v>306</v>
      </c>
      <c r="K38" s="681" t="s">
        <v>963</v>
      </c>
      <c r="V38" s="507">
        <v>68</v>
      </c>
    </row>
    <row customHeight="1" ht="11.549999999999999">
      <c r="A39" s="507"/>
      <c r="C39" s="507"/>
      <c r="D39" s="349"/>
      <c r="E39" s="582" t="s">
        <v>964</v>
      </c>
      <c r="F39" s="574"/>
      <c r="G39" s="574"/>
      <c r="H39" s="698"/>
      <c r="I39" s="574"/>
      <c r="J39" s="698"/>
      <c r="K39" s="575"/>
      <c r="U39" s="507"/>
      <c r="V39" s="507">
        <v>11</v>
      </c>
    </row>
    <row customHeight="1" ht="22.5" hidden="1">
      <c r="A40" s="451" t="s">
        <v>82</v>
      </c>
      <c r="B40" s="507">
        <v>0</v>
      </c>
      <c r="C40" s="685">
        <v>4</v>
      </c>
      <c r="D40" s="507">
        <v>6</v>
      </c>
      <c r="E40" s="507">
        <v>36</v>
      </c>
      <c r="F40" s="507">
        <v>9</v>
      </c>
      <c r="G40" s="760">
        <v>0</v>
      </c>
      <c r="H40" s="760">
        <v>0</v>
      </c>
      <c r="I40" s="507">
        <v>25</v>
      </c>
      <c r="J40" s="507">
        <v>33</v>
      </c>
      <c r="K40" s="419">
        <v>93</v>
      </c>
      <c r="L40" s="507">
        <v>10</v>
      </c>
      <c r="M40" s="507">
        <v>10</v>
      </c>
      <c r="N40" s="507">
        <v>10</v>
      </c>
      <c r="O40" s="507">
        <v>10</v>
      </c>
      <c r="P40" s="507">
        <v>10</v>
      </c>
      <c r="Q40" s="507">
        <v>10</v>
      </c>
      <c r="R40" s="507">
        <v>10</v>
      </c>
      <c r="S40" s="507">
        <v>10</v>
      </c>
      <c r="T40" s="507">
        <v>10</v>
      </c>
      <c r="U40" s="677">
        <v>10</v>
      </c>
      <c r="V40" s="507">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D5F2ED-B408-02DA-B4AC-0522F2DEB013}"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8" width="6.7109375" hidden="1" customWidth="1"/>
    <col min="4" max="4" style="1368" width="6.7109375" hidden="1" customWidth="1"/>
    <col min="5" max="5" style="1637" width="3.00390625" customWidth="1"/>
    <col min="6" max="6" style="1637" width="6.00390625" customWidth="1"/>
    <col min="7" max="7" style="1637" width="37.00390625" customWidth="1"/>
    <col min="8" max="8" style="1637" width="16.00390625" customWidth="1"/>
    <col min="9" max="10" style="1637" width="19.00390625" customWidth="1"/>
    <col min="11" max="11" style="1637" width="24.00390625" customWidth="1"/>
    <col min="12" max="13" style="1637" width="25.00390625" customWidth="1"/>
    <col min="14" max="16" style="1637" width="17.00390625" customWidth="1"/>
    <col min="17" max="24" style="1637" width="19.00390625" customWidth="1"/>
    <col min="25" max="25" style="1637" width="7.00390625" customWidth="1"/>
    <col min="26" max="26" style="1637" width="3.00390625" customWidth="1"/>
    <col min="27" max="27" style="1637" width="6.00390625" customWidth="1"/>
    <col min="28" max="28" style="1637" width="34.00390625" customWidth="1"/>
    <col min="29" max="30" style="1637" width="8.00390625" customWidth="1"/>
    <col min="31" max="31" style="1637" width="9.140625" hidden="1"/>
  </cols>
  <sheetData>
    <row s="1368" customFormat="1" customHeight="1" ht="10.5" hidden="1">
      <c r="A1" s="897"/>
      <c r="B1" s="897"/>
      <c r="C1" s="897"/>
      <c r="E1" s="539"/>
      <c r="H1" s="1162"/>
      <c r="AE1" s="419" t="s">
        <v>14</v>
      </c>
    </row>
    <row customHeight="1" ht="10.5" hidden="1">
      <c r="AE2" s="760">
        <v>0</v>
      </c>
    </row>
    <row s="1634" customFormat="1" customHeight="1" ht="10.5" hidden="1">
      <c r="A3" s="897"/>
      <c r="B3" s="897"/>
      <c r="C3" s="897"/>
      <c r="D3" s="419"/>
      <c r="E3" s="364"/>
      <c r="G3" s="1634" t="s">
        <v>965</v>
      </c>
      <c r="H3" s="1158"/>
      <c r="AE3" s="761">
        <v>0</v>
      </c>
    </row>
    <row customHeight="1" ht="3">
      <c r="AE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M5" s="584"/>
      <c r="AB5" s="908"/>
      <c r="AE5" s="760">
        <v>26</v>
      </c>
    </row>
    <row s="1637" customFormat="1" customHeight="1" ht="16.8">
      <c r="A6" s="1168"/>
      <c r="B6" s="1168"/>
      <c r="C6" s="1168"/>
      <c r="D6" s="1162"/>
      <c r="E6" s="1637"/>
      <c r="F6" s="2251" t="str">
        <f>IF(org=0,"Не определено",org)</f>
        <v>ПАО "ТГК-2"</v>
      </c>
      <c r="G6" s="2251"/>
      <c r="H6" s="2251"/>
      <c r="I6" s="2251"/>
      <c r="J6" s="2251"/>
      <c r="K6" s="2251"/>
      <c r="M6" s="584"/>
      <c r="AB6" s="1150"/>
      <c r="AE6" s="1633">
        <v>16</v>
      </c>
    </row>
    <row customHeight="1" ht="10.5">
      <c r="AE7" s="760">
        <v>10</v>
      </c>
    </row>
    <row customHeight="1" ht="10.5">
      <c r="A8" s="1053"/>
      <c r="B8" s="1053"/>
      <c r="C8" s="1053"/>
      <c r="F8" s="2103" t="s">
        <v>300</v>
      </c>
      <c r="G8" s="2104"/>
      <c r="H8" s="2104"/>
      <c r="I8" s="2104"/>
      <c r="J8" s="2104"/>
      <c r="K8" s="2104"/>
      <c r="L8" s="2104"/>
      <c r="M8" s="2104"/>
      <c r="N8" s="2104"/>
      <c r="O8" s="2104"/>
      <c r="P8" s="2104"/>
      <c r="Q8" s="2104"/>
      <c r="R8" s="2104"/>
      <c r="S8" s="2104"/>
      <c r="T8" s="2104"/>
      <c r="U8" s="2104"/>
      <c r="V8" s="2104"/>
      <c r="W8" s="2104"/>
      <c r="X8" s="2104"/>
      <c r="Y8" s="2104"/>
      <c r="Z8" s="2104"/>
      <c r="AA8" s="2104"/>
      <c r="AB8" s="2105"/>
      <c r="AE8" s="760">
        <v>10</v>
      </c>
    </row>
    <row customHeight="1" ht="43.050000000000004">
      <c r="A9" s="907"/>
      <c r="B9" s="907"/>
      <c r="C9" s="907"/>
      <c r="F9" s="2129" t="s">
        <v>88</v>
      </c>
      <c r="G9" s="2129" t="s">
        <v>965</v>
      </c>
      <c r="H9" s="2177" t="s">
        <v>966</v>
      </c>
      <c r="I9" s="2129" t="s">
        <v>967</v>
      </c>
      <c r="J9" s="2129" t="s">
        <v>968</v>
      </c>
      <c r="K9" s="2129" t="s">
        <v>969</v>
      </c>
      <c r="L9" s="2129" t="s">
        <v>970</v>
      </c>
      <c r="M9" s="2129" t="s">
        <v>971</v>
      </c>
      <c r="N9" s="2211" t="s">
        <v>972</v>
      </c>
      <c r="O9" s="2211"/>
      <c r="P9" s="2211"/>
      <c r="Q9" s="2401" t="s">
        <v>973</v>
      </c>
      <c r="R9" s="2402"/>
      <c r="S9" s="2402"/>
      <c r="T9" s="2403"/>
      <c r="U9" s="2401" t="s">
        <v>974</v>
      </c>
      <c r="V9" s="2402"/>
      <c r="W9" s="2402"/>
      <c r="X9" s="2403"/>
      <c r="Y9" s="2103" t="s">
        <v>975</v>
      </c>
      <c r="Z9" s="2104"/>
      <c r="AA9" s="2104"/>
      <c r="AB9" s="2105"/>
      <c r="AE9" s="760">
        <v>41</v>
      </c>
    </row>
    <row customHeight="1" ht="43.050000000000004">
      <c r="A10" s="907"/>
      <c r="B10" s="907"/>
      <c r="C10" s="907"/>
      <c r="F10" s="2177"/>
      <c r="G10" s="2177"/>
      <c r="H10" s="2234"/>
      <c r="I10" s="2177"/>
      <c r="J10" s="2177"/>
      <c r="K10" s="2177"/>
      <c r="L10" s="2177"/>
      <c r="M10" s="2177"/>
      <c r="N10" s="905" t="s">
        <v>976</v>
      </c>
      <c r="O10" s="905" t="s">
        <v>977</v>
      </c>
      <c r="P10" s="906" t="s">
        <v>978</v>
      </c>
      <c r="Q10" s="917" t="s">
        <v>89</v>
      </c>
      <c r="R10" s="917" t="s">
        <v>979</v>
      </c>
      <c r="S10" s="917" t="s">
        <v>980</v>
      </c>
      <c r="T10" s="918" t="s">
        <v>981</v>
      </c>
      <c r="U10" s="917" t="s">
        <v>89</v>
      </c>
      <c r="V10" s="917" t="s">
        <v>982</v>
      </c>
      <c r="W10" s="917" t="s">
        <v>980</v>
      </c>
      <c r="X10" s="918" t="s">
        <v>981</v>
      </c>
      <c r="Y10" s="303" t="s">
        <v>983</v>
      </c>
      <c r="Z10" s="2103" t="s">
        <v>88</v>
      </c>
      <c r="AA10" s="2105"/>
      <c r="AB10" s="1051" t="s">
        <v>984</v>
      </c>
      <c r="AE10" s="760">
        <v>41</v>
      </c>
    </row>
    <row s="1644" customFormat="1" customHeight="1" ht="5.25" hidden="1">
      <c r="A11" s="1054"/>
      <c r="B11" s="1054"/>
      <c r="C11" s="1054"/>
      <c r="E11" s="1052"/>
      <c r="F11" s="2408" t="s">
        <v>376</v>
      </c>
      <c r="G11" s="2405"/>
      <c r="H11" s="2404"/>
      <c r="I11" s="2404"/>
      <c r="J11" s="2404"/>
      <c r="K11" s="2406"/>
      <c r="L11" s="2406"/>
      <c r="M11" s="2406"/>
      <c r="N11" s="2404"/>
      <c r="O11" s="2404"/>
      <c r="P11" s="2129"/>
      <c r="Q11" s="2181"/>
      <c r="R11" s="2181"/>
      <c r="S11" s="2181"/>
      <c r="T11" s="2404"/>
      <c r="U11" s="2181"/>
      <c r="V11" s="2181"/>
      <c r="W11" s="2181"/>
      <c r="X11" s="2404"/>
      <c r="Y11" s="2110"/>
      <c r="Z11" s="2110"/>
      <c r="AA11" s="2110"/>
      <c r="AB11" s="2110"/>
      <c r="AD11" s="513" t="s">
        <v>985</v>
      </c>
      <c r="AE11" s="513">
        <v>0</v>
      </c>
    </row>
    <row s="1644" customFormat="1" customHeight="1" ht="5.25" hidden="1">
      <c r="A12" s="898"/>
      <c r="B12" s="898"/>
      <c r="C12" s="898"/>
      <c r="E12" s="520"/>
      <c r="F12" s="2408"/>
      <c r="G12" s="2405"/>
      <c r="H12" s="2404"/>
      <c r="I12" s="2404"/>
      <c r="J12" s="2404"/>
      <c r="K12" s="2406"/>
      <c r="L12" s="2406"/>
      <c r="M12" s="2406"/>
      <c r="N12" s="2404"/>
      <c r="O12" s="2404"/>
      <c r="P12" s="2129"/>
      <c r="Q12" s="2181"/>
      <c r="R12" s="2181"/>
      <c r="S12" s="2181"/>
      <c r="T12" s="2404"/>
      <c r="U12" s="2181"/>
      <c r="V12" s="2181"/>
      <c r="W12" s="2181"/>
      <c r="X12" s="2404"/>
      <c r="Y12" s="2407"/>
      <c r="Z12" s="2407"/>
      <c r="AA12" s="2407"/>
      <c r="AB12" s="2407"/>
      <c r="AE12" s="513">
        <v>0</v>
      </c>
    </row>
    <row customHeight="1" ht="10.5">
      <c r="F13" s="904"/>
      <c r="G13" s="652" t="s">
        <v>986</v>
      </c>
      <c r="H13" s="1170"/>
      <c r="I13" s="574"/>
      <c r="J13" s="574"/>
      <c r="K13" s="574"/>
      <c r="L13" s="574"/>
      <c r="M13" s="574"/>
      <c r="N13" s="574"/>
      <c r="O13" s="574"/>
      <c r="P13" s="574"/>
      <c r="Q13" s="574"/>
      <c r="R13" s="574"/>
      <c r="S13" s="574"/>
      <c r="T13" s="574"/>
      <c r="U13" s="574"/>
      <c r="V13" s="574"/>
      <c r="W13" s="574"/>
      <c r="X13" s="574"/>
      <c r="Y13" s="574"/>
      <c r="Z13" s="698"/>
      <c r="AA13" s="698"/>
      <c r="AB13" s="919"/>
      <c r="AE13" s="760">
        <v>10</v>
      </c>
    </row>
    <row customHeight="1" ht="10.5">
      <c r="AE14" s="760">
        <v>10</v>
      </c>
    </row>
    <row s="1644" customFormat="1" customHeight="1" ht="10.5">
      <c r="A15" s="1169"/>
      <c r="B15" s="1169"/>
      <c r="C15" s="1169"/>
      <c r="E15" s="520"/>
      <c r="H15" s="513">
        <f>_xlfn.IFERROR(MATCH("нет",IP_MAIN_DIFFERENTIATION_EVENTS_FLAG,0),0)</f>
        <v>0</v>
      </c>
      <c r="AE15" s="513">
        <v>10</v>
      </c>
    </row>
    <row customHeight="1" ht="10.5" hidden="1">
      <c r="A16" s="897" t="s">
        <v>82</v>
      </c>
      <c r="B16" s="897">
        <v>0</v>
      </c>
      <c r="C16" s="897">
        <v>0</v>
      </c>
      <c r="D16" s="419">
        <v>0</v>
      </c>
      <c r="E16" s="511">
        <v>3</v>
      </c>
      <c r="F16" s="760">
        <v>6</v>
      </c>
      <c r="G16" s="760">
        <v>37</v>
      </c>
      <c r="H16" s="1157">
        <v>16</v>
      </c>
      <c r="I16" s="760">
        <v>19</v>
      </c>
      <c r="J16" s="760">
        <v>19</v>
      </c>
      <c r="K16" s="760">
        <v>24</v>
      </c>
      <c r="L16" s="760">
        <v>25</v>
      </c>
      <c r="M16" s="760">
        <v>25</v>
      </c>
      <c r="N16" s="760">
        <v>17</v>
      </c>
      <c r="O16" s="760">
        <v>17</v>
      </c>
      <c r="P16" s="760">
        <v>17</v>
      </c>
      <c r="Q16" s="760">
        <v>19</v>
      </c>
      <c r="R16" s="760">
        <v>19</v>
      </c>
      <c r="S16" s="760">
        <v>19</v>
      </c>
      <c r="T16" s="760">
        <v>19</v>
      </c>
      <c r="U16" s="760">
        <v>19</v>
      </c>
      <c r="V16" s="760">
        <v>19</v>
      </c>
      <c r="W16" s="760">
        <v>19</v>
      </c>
      <c r="X16" s="760">
        <v>19</v>
      </c>
      <c r="Y16" s="760">
        <v>7</v>
      </c>
      <c r="Z16" s="760">
        <v>3</v>
      </c>
      <c r="AA16" s="760">
        <v>6</v>
      </c>
      <c r="AB16" s="760">
        <v>34</v>
      </c>
      <c r="AC16" s="760">
        <v>8</v>
      </c>
      <c r="AD16" s="760">
        <v>8</v>
      </c>
      <c r="AE16" s="760">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67470C-D61D-655D-3A93-F04B9BA0A6F6}"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14.00390625" customWidth="1"/>
    <col min="7" max="7" style="1637" width="3.00390625" customWidth="1"/>
    <col min="8" max="8" style="1637" width="7.00390625" customWidth="1"/>
    <col min="9" max="10" style="1637" width="16.00390625" customWidth="1"/>
    <col min="11" max="11" style="1637" width="25.00390625" customWidth="1"/>
    <col min="12" max="12" style="1637" width="7.00390625" customWidth="1"/>
    <col min="13" max="13" style="1637" width="15.00390625" customWidth="1"/>
    <col min="14" max="14" style="1637" width="3.00390625" customWidth="1"/>
    <col min="15" max="15" style="1637" width="4.00390625" customWidth="1"/>
    <col min="16" max="16" style="1637" width="8.00390625" customWidth="1"/>
    <col min="17" max="17" style="1637" width="21.00390625" customWidth="1"/>
    <col min="18" max="18" style="1637" width="14.00390625" customWidth="1"/>
    <col min="19" max="20" style="1637" width="17.00390625" customWidth="1"/>
    <col min="21" max="21" style="1637" width="9.00390625" customWidth="1"/>
    <col min="22" max="22" style="1637" width="12.00390625" customWidth="1"/>
    <col min="23" max="23" style="1637" width="9.00390625" customWidth="1"/>
    <col min="24" max="24" style="1637" width="21.00390625" customWidth="1"/>
    <col min="25" max="25" style="1637" width="12.00390625" customWidth="1"/>
    <col min="26" max="26" style="1637" width="3.00390625" customWidth="1"/>
    <col min="27" max="27" style="1637" width="6.00390625" customWidth="1"/>
    <col min="28" max="28" style="1637" width="38.00390625" customWidth="1"/>
    <col min="29" max="29" style="1637" width="15.00390625" customWidth="1"/>
    <col min="30" max="30" style="1637" width="37.57421875" hidden="1" customWidth="1"/>
    <col min="31" max="31" style="1637" width="15.7109375" hidden="1" customWidth="1"/>
    <col min="32" max="34" style="1637" width="16.00390625" customWidth="1"/>
    <col min="35" max="37" style="1637" width="16.7109375" hidden="1" customWidth="1"/>
    <col min="38" max="58" style="1637" width="8.00390625" customWidth="1"/>
    <col min="59" max="59" style="1637" width="9.140625" hidden="1"/>
  </cols>
  <sheetData>
    <row s="1368" customFormat="1" customHeight="1" ht="10.5" hidden="1">
      <c r="A1" s="897"/>
      <c r="B1" s="897"/>
      <c r="C1" s="897"/>
      <c r="E1" s="539"/>
      <c r="H1" s="1162"/>
      <c r="L1" s="1130"/>
      <c r="M1" s="1130"/>
      <c r="AD1" s="1130"/>
      <c r="AH1" s="1149"/>
      <c r="AI1" s="1142"/>
      <c r="BG1" s="419" t="s">
        <v>14</v>
      </c>
    </row>
    <row customHeight="1" ht="10.5" hidden="1">
      <c r="BG2" s="760">
        <v>0</v>
      </c>
    </row>
    <row s="1634" customFormat="1" customHeight="1" ht="10.5" hidden="1">
      <c r="A3" s="897"/>
      <c r="B3" s="897"/>
      <c r="C3" s="897"/>
      <c r="D3" s="419"/>
      <c r="E3" s="364"/>
      <c r="H3" s="1158"/>
      <c r="L3" s="1128"/>
      <c r="M3" s="1128"/>
      <c r="AD3" s="1128"/>
      <c r="AH3" s="1147"/>
      <c r="AI3" s="1140"/>
      <c r="BG3" s="761">
        <v>0</v>
      </c>
    </row>
    <row customHeight="1" ht="3">
      <c r="BG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L5" s="1137"/>
      <c r="M5" s="1137"/>
      <c r="AG5" s="908"/>
      <c r="AH5" s="1150"/>
      <c r="BG5" s="760">
        <v>26</v>
      </c>
    </row>
    <row customHeight="1" ht="10.5">
      <c r="F6" s="2178" t="str">
        <f>IF(org=0,"Не определено",org)</f>
        <v>ПАО "ТГК-2"</v>
      </c>
      <c r="G6" s="2178"/>
      <c r="H6" s="2178"/>
      <c r="I6" s="2178"/>
      <c r="J6" s="2178"/>
      <c r="K6" s="2178"/>
      <c r="L6" s="1138"/>
      <c r="M6" s="1138"/>
      <c r="BG6" s="760">
        <v>10</v>
      </c>
    </row>
    <row customHeight="1" ht="11.549999999999999">
      <c r="E7" s="910"/>
      <c r="F7" s="921"/>
      <c r="G7" s="921"/>
      <c r="H7" s="1186"/>
      <c r="I7" s="921"/>
      <c r="J7" s="921"/>
      <c r="K7" s="923"/>
      <c r="L7" s="1135"/>
      <c r="M7" s="1135"/>
      <c r="N7" s="921"/>
      <c r="O7" s="921"/>
      <c r="P7" s="921"/>
      <c r="Q7" s="923"/>
      <c r="R7" s="921"/>
      <c r="S7" s="921"/>
      <c r="T7" s="921"/>
      <c r="U7" s="921"/>
      <c r="V7" s="921"/>
      <c r="W7" s="921"/>
      <c r="X7" s="921"/>
      <c r="Y7" s="921"/>
      <c r="Z7" s="921"/>
      <c r="AA7" s="921"/>
      <c r="AB7" s="921"/>
      <c r="AC7" s="922"/>
      <c r="AD7" s="1134"/>
      <c r="AE7" s="922"/>
      <c r="AF7" s="921"/>
      <c r="AG7" s="921"/>
      <c r="AH7" s="1152"/>
      <c r="AI7" s="1145"/>
      <c r="AJ7" s="921"/>
      <c r="AK7" s="921"/>
      <c r="AL7" s="912"/>
      <c r="AM7" s="912"/>
      <c r="AN7" s="912"/>
      <c r="AO7" s="909"/>
      <c r="AP7" s="909"/>
      <c r="AQ7" s="909"/>
      <c r="AR7" s="909"/>
      <c r="AS7" s="909"/>
      <c r="AT7" s="909"/>
      <c r="AU7" s="909"/>
      <c r="AV7" s="909"/>
      <c r="AW7" s="909"/>
      <c r="AX7" s="909"/>
      <c r="AY7" s="909"/>
      <c r="AZ7" s="909"/>
      <c r="BA7" s="909"/>
      <c r="BB7" s="909"/>
      <c r="BC7" s="909"/>
      <c r="BD7" s="909"/>
      <c r="BE7" s="909"/>
      <c r="BF7" s="909"/>
      <c r="BG7" s="760">
        <v>11</v>
      </c>
    </row>
    <row customHeight="1" ht="10.5">
      <c r="E8" s="910"/>
      <c r="F8" s="2417" t="s">
        <v>300</v>
      </c>
      <c r="G8" s="2418"/>
      <c r="H8" s="2418"/>
      <c r="I8" s="2418"/>
      <c r="J8" s="2418"/>
      <c r="K8" s="2418"/>
      <c r="L8" s="2418"/>
      <c r="M8" s="2418"/>
      <c r="N8" s="2418"/>
      <c r="O8" s="2418"/>
      <c r="P8" s="2418"/>
      <c r="Q8" s="2418"/>
      <c r="R8" s="2418"/>
      <c r="S8" s="2418"/>
      <c r="T8" s="2418"/>
      <c r="U8" s="2418"/>
      <c r="V8" s="2418"/>
      <c r="W8" s="2418"/>
      <c r="X8" s="2418"/>
      <c r="Y8" s="2418"/>
      <c r="Z8" s="2418"/>
      <c r="AA8" s="2418"/>
      <c r="AB8" s="2418"/>
      <c r="AC8" s="2418"/>
      <c r="AD8" s="2418"/>
      <c r="AE8" s="2418"/>
      <c r="AF8" s="2418"/>
      <c r="AG8" s="2418"/>
      <c r="AH8" s="2418"/>
      <c r="AI8" s="2418"/>
      <c r="AJ8" s="2418"/>
      <c r="AK8" s="2419"/>
      <c r="AL8" s="911"/>
      <c r="AM8" s="909"/>
      <c r="AN8" s="909"/>
      <c r="AO8" s="909"/>
      <c r="AP8" s="909"/>
      <c r="AQ8" s="909"/>
      <c r="AR8" s="909"/>
      <c r="AS8" s="909"/>
      <c r="AT8" s="909"/>
      <c r="AU8" s="909"/>
      <c r="AV8" s="909"/>
      <c r="AW8" s="909"/>
      <c r="AX8" s="909"/>
      <c r="AY8" s="909"/>
      <c r="AZ8" s="909"/>
      <c r="BA8" s="909"/>
      <c r="BB8" s="909"/>
      <c r="BC8" s="909"/>
      <c r="BD8" s="909"/>
      <c r="BE8" s="909"/>
      <c r="BF8" s="909"/>
      <c r="BG8" s="760">
        <v>10</v>
      </c>
    </row>
    <row customHeight="1" ht="24">
      <c r="A9" s="907"/>
      <c r="B9" s="907"/>
      <c r="C9" s="907"/>
      <c r="E9" s="910"/>
      <c r="F9" s="2410" t="s">
        <v>987</v>
      </c>
      <c r="G9" s="2411" t="s">
        <v>988</v>
      </c>
      <c r="H9" s="2412"/>
      <c r="I9" s="2129" t="s">
        <v>989</v>
      </c>
      <c r="J9" s="2129"/>
      <c r="K9" s="2129" t="s">
        <v>990</v>
      </c>
      <c r="L9" s="2129"/>
      <c r="M9" s="2129"/>
      <c r="N9" s="2129"/>
      <c r="O9" s="2129"/>
      <c r="P9" s="2129"/>
      <c r="Q9" s="2129"/>
      <c r="R9" s="2129"/>
      <c r="S9" s="2129"/>
      <c r="T9" s="2129"/>
      <c r="U9" s="2129"/>
      <c r="V9" s="2129"/>
      <c r="W9" s="2129"/>
      <c r="X9" s="2129"/>
      <c r="Y9" s="2129"/>
      <c r="Z9" s="2194" t="s">
        <v>991</v>
      </c>
      <c r="AA9" s="2195"/>
      <c r="AB9" s="2129" t="s">
        <v>992</v>
      </c>
      <c r="AC9" s="2129"/>
      <c r="AD9" s="2129"/>
      <c r="AE9" s="2129"/>
      <c r="AF9" s="2177" t="s">
        <v>993</v>
      </c>
      <c r="AG9" s="2129" t="s">
        <v>994</v>
      </c>
      <c r="AH9" s="2129"/>
      <c r="AI9" s="2177" t="s">
        <v>995</v>
      </c>
      <c r="AJ9" s="2129" t="s">
        <v>996</v>
      </c>
      <c r="AK9" s="2129"/>
      <c r="AL9" s="1144"/>
      <c r="AM9" s="909"/>
      <c r="AN9" s="909"/>
      <c r="AO9" s="909"/>
      <c r="AP9" s="909"/>
      <c r="AQ9" s="909"/>
      <c r="AR9" s="909"/>
      <c r="AS9" s="909"/>
      <c r="AT9" s="909"/>
      <c r="AU9" s="909"/>
      <c r="AV9" s="909"/>
      <c r="AW9" s="909"/>
      <c r="AX9" s="909"/>
      <c r="AY9" s="909"/>
      <c r="AZ9" s="909"/>
      <c r="BA9" s="909"/>
      <c r="BB9" s="909"/>
      <c r="BC9" s="909"/>
      <c r="BD9" s="909"/>
      <c r="BE9" s="909"/>
      <c r="BF9" s="909"/>
      <c r="BG9" s="760">
        <v>23</v>
      </c>
    </row>
    <row customHeight="1" ht="25.2">
      <c r="A10" s="907"/>
      <c r="B10" s="907"/>
      <c r="C10" s="907"/>
      <c r="E10" s="914"/>
      <c r="F10" s="2410"/>
      <c r="G10" s="2413"/>
      <c r="H10" s="2414"/>
      <c r="I10" s="2129"/>
      <c r="J10" s="2129"/>
      <c r="K10" s="2129" t="s">
        <v>997</v>
      </c>
      <c r="L10" s="2103" t="s">
        <v>998</v>
      </c>
      <c r="M10" s="2105"/>
      <c r="N10" s="2129" t="s">
        <v>999</v>
      </c>
      <c r="O10" s="2129"/>
      <c r="P10" s="2129"/>
      <c r="Q10" s="2129"/>
      <c r="R10" s="2129"/>
      <c r="S10" s="2129"/>
      <c r="T10" s="2129"/>
      <c r="U10" s="2129"/>
      <c r="V10" s="2129"/>
      <c r="W10" s="2129"/>
      <c r="X10" s="2129"/>
      <c r="Y10" s="2129"/>
      <c r="Z10" s="2196"/>
      <c r="AA10" s="2197"/>
      <c r="AB10" s="2129"/>
      <c r="AC10" s="2129"/>
      <c r="AD10" s="2129"/>
      <c r="AE10" s="2129"/>
      <c r="AF10" s="2201"/>
      <c r="AG10" s="2129"/>
      <c r="AH10" s="2129"/>
      <c r="AI10" s="2201"/>
      <c r="AJ10" s="2129"/>
      <c r="AK10" s="2129"/>
      <c r="AL10" s="1144"/>
      <c r="AM10" s="915"/>
      <c r="AN10" s="915"/>
      <c r="AO10" s="915"/>
      <c r="AP10" s="915"/>
      <c r="AQ10" s="915"/>
      <c r="AR10" s="915"/>
      <c r="AS10" s="915"/>
      <c r="AT10" s="915"/>
      <c r="AU10" s="915"/>
      <c r="AV10" s="915"/>
      <c r="AW10" s="915"/>
      <c r="AX10" s="915"/>
      <c r="AY10" s="915"/>
      <c r="AZ10" s="915"/>
      <c r="BA10" s="915"/>
      <c r="BB10" s="915"/>
      <c r="BC10" s="915"/>
      <c r="BD10" s="915"/>
      <c r="BE10" s="915"/>
      <c r="BF10" s="915"/>
      <c r="BG10" s="760">
        <v>24</v>
      </c>
    </row>
    <row s="1637" customFormat="1" customHeight="1" ht="25.2">
      <c r="A11" s="1131"/>
      <c r="B11" s="1131"/>
      <c r="C11" s="1131"/>
      <c r="D11" s="1130"/>
      <c r="E11" s="1132"/>
      <c r="F11" s="2410"/>
      <c r="G11" s="2413"/>
      <c r="H11" s="2414"/>
      <c r="I11" s="2129"/>
      <c r="J11" s="2129"/>
      <c r="K11" s="2129"/>
      <c r="L11" s="2177" t="s">
        <v>1000</v>
      </c>
      <c r="M11" s="2177" t="s">
        <v>1001</v>
      </c>
      <c r="N11" s="2129" t="s">
        <v>1002</v>
      </c>
      <c r="O11" s="2129"/>
      <c r="P11" s="2420" t="s">
        <v>983</v>
      </c>
      <c r="Q11" s="2420" t="s">
        <v>1003</v>
      </c>
      <c r="R11" s="2420" t="s">
        <v>1004</v>
      </c>
      <c r="S11" s="2420" t="s">
        <v>1005</v>
      </c>
      <c r="T11" s="2420"/>
      <c r="U11" s="2420"/>
      <c r="V11" s="2420"/>
      <c r="W11" s="2420"/>
      <c r="X11" s="2420"/>
      <c r="Y11" s="2420"/>
      <c r="Z11" s="2196"/>
      <c r="AA11" s="2197"/>
      <c r="AB11" s="2129" t="s">
        <v>1006</v>
      </c>
      <c r="AC11" s="2129"/>
      <c r="AD11" s="2103" t="s">
        <v>1007</v>
      </c>
      <c r="AE11" s="2105"/>
      <c r="AF11" s="2201"/>
      <c r="AG11" s="2129"/>
      <c r="AH11" s="2129"/>
      <c r="AI11" s="2201"/>
      <c r="AJ11" s="2129"/>
      <c r="AK11" s="2129"/>
      <c r="AL11" s="1144"/>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7">
        <v>24</v>
      </c>
    </row>
    <row customHeight="1" ht="35.699999999999996">
      <c r="A12" s="907"/>
      <c r="B12" s="907"/>
      <c r="C12" s="907"/>
      <c r="E12" s="910"/>
      <c r="F12" s="2410"/>
      <c r="G12" s="2415"/>
      <c r="H12" s="2416"/>
      <c r="I12" s="1155" t="s">
        <v>89</v>
      </c>
      <c r="J12" s="1155" t="s">
        <v>1008</v>
      </c>
      <c r="K12" s="2129"/>
      <c r="L12" s="2234"/>
      <c r="M12" s="2234"/>
      <c r="N12" s="2129"/>
      <c r="O12" s="2129"/>
      <c r="P12" s="2420"/>
      <c r="Q12" s="2420"/>
      <c r="R12" s="2420"/>
      <c r="S12" s="1136" t="s">
        <v>86</v>
      </c>
      <c r="T12" s="1136" t="s">
        <v>87</v>
      </c>
      <c r="U12" s="1136" t="s">
        <v>85</v>
      </c>
      <c r="V12" s="1136" t="s">
        <v>1009</v>
      </c>
      <c r="W12" s="1136" t="s">
        <v>85</v>
      </c>
      <c r="X12" s="1136" t="s">
        <v>1010</v>
      </c>
      <c r="Y12" s="1136" t="s">
        <v>1011</v>
      </c>
      <c r="Z12" s="2202"/>
      <c r="AA12" s="2203"/>
      <c r="AB12" s="1143" t="s">
        <v>1012</v>
      </c>
      <c r="AC12" s="1143" t="s">
        <v>1013</v>
      </c>
      <c r="AD12" s="1143" t="s">
        <v>1012</v>
      </c>
      <c r="AE12" s="1143" t="s">
        <v>1013</v>
      </c>
      <c r="AF12" s="2234"/>
      <c r="AG12" s="1156" t="s">
        <v>1014</v>
      </c>
      <c r="AH12" s="1156" t="s">
        <v>1015</v>
      </c>
      <c r="AI12" s="2234"/>
      <c r="AJ12" s="1156" t="s">
        <v>1014</v>
      </c>
      <c r="AK12" s="1156" t="s">
        <v>1015</v>
      </c>
      <c r="AL12" s="1144"/>
      <c r="AM12" s="909"/>
      <c r="AN12" s="909"/>
      <c r="AO12" s="909"/>
      <c r="AP12" s="909"/>
      <c r="AQ12" s="909"/>
      <c r="AR12" s="909"/>
      <c r="AS12" s="909"/>
      <c r="AT12" s="909"/>
      <c r="AU12" s="909"/>
      <c r="AV12" s="909"/>
      <c r="AW12" s="909"/>
      <c r="AX12" s="909"/>
      <c r="AY12" s="909"/>
      <c r="AZ12" s="909"/>
      <c r="BA12" s="909"/>
      <c r="BB12" s="909"/>
      <c r="BC12" s="909"/>
      <c r="BD12" s="909"/>
      <c r="BE12" s="909"/>
      <c r="BF12" s="909"/>
      <c r="BG12" s="760">
        <v>34</v>
      </c>
    </row>
    <row customHeight="1" ht="1.05">
      <c r="E13" s="910"/>
      <c r="F13" s="1126">
        <v>0</v>
      </c>
      <c r="G13" s="1126"/>
      <c r="H13" s="1126"/>
      <c r="I13" s="1126"/>
      <c r="J13" s="1126"/>
      <c r="K13" s="1133"/>
      <c r="L13" s="1133"/>
      <c r="M13" s="1133"/>
      <c r="N13" s="1133"/>
      <c r="O13" s="1133"/>
      <c r="P13" s="1133"/>
      <c r="Q13" s="1133"/>
      <c r="R13" s="1133"/>
      <c r="S13" s="1133"/>
      <c r="T13" s="1133"/>
      <c r="U13" s="1133"/>
      <c r="V13" s="1133"/>
      <c r="W13" s="1133"/>
      <c r="X13" s="1133"/>
      <c r="Y13" s="1133"/>
      <c r="Z13" s="1133"/>
      <c r="AA13" s="1133"/>
      <c r="AB13" s="1133"/>
      <c r="AC13" s="1133"/>
      <c r="AD13" s="1133"/>
      <c r="AE13" s="1133"/>
      <c r="AF13" s="1133"/>
      <c r="AG13" s="1133"/>
      <c r="AH13" s="1151"/>
      <c r="AI13" s="1144"/>
      <c r="AJ13" s="1133"/>
      <c r="AK13" s="1133"/>
      <c r="AL13" s="911"/>
      <c r="AM13" s="909"/>
      <c r="AN13" s="909"/>
      <c r="AO13" s="909"/>
      <c r="AP13" s="909"/>
      <c r="AQ13" s="909"/>
      <c r="AR13" s="909"/>
      <c r="AS13" s="909"/>
      <c r="AT13" s="909"/>
      <c r="AU13" s="909"/>
      <c r="AV13" s="909"/>
      <c r="AW13" s="909"/>
      <c r="AX13" s="909"/>
      <c r="AY13" s="909"/>
      <c r="AZ13" s="909"/>
      <c r="BA13" s="909"/>
      <c r="BB13" s="909"/>
      <c r="BC13" s="909"/>
      <c r="BD13" s="909"/>
      <c r="BE13" s="909"/>
      <c r="BF13" s="909"/>
      <c r="BG13" s="760">
        <v>1</v>
      </c>
    </row>
    <row customHeight="1" ht="10.5">
      <c r="E14" s="909"/>
      <c r="F14" s="920"/>
      <c r="G14" s="920"/>
      <c r="H14" s="1174"/>
      <c r="I14" s="920"/>
      <c r="J14" s="920"/>
      <c r="K14" s="920"/>
      <c r="L14" s="1133"/>
      <c r="M14" s="1133"/>
      <c r="N14" s="920"/>
      <c r="O14" s="920"/>
      <c r="P14" s="920"/>
      <c r="Q14" s="920"/>
      <c r="R14" s="920"/>
      <c r="S14" s="920"/>
      <c r="T14" s="920"/>
      <c r="U14" s="920"/>
      <c r="V14" s="920"/>
      <c r="W14" s="920"/>
      <c r="X14" s="920"/>
      <c r="Y14" s="920"/>
      <c r="Z14" s="920"/>
      <c r="AA14" s="920"/>
      <c r="AB14" s="920"/>
      <c r="AC14" s="920"/>
      <c r="AD14" s="1133"/>
      <c r="AE14" s="920"/>
      <c r="AF14" s="920"/>
      <c r="AG14" s="920"/>
      <c r="AH14" s="1151"/>
      <c r="AI14" s="1144"/>
      <c r="AJ14" s="920"/>
      <c r="AK14" s="920"/>
      <c r="AL14" s="909"/>
      <c r="AM14" s="909"/>
      <c r="AN14" s="909"/>
      <c r="AO14" s="909"/>
      <c r="AP14" s="909"/>
      <c r="AQ14" s="909"/>
      <c r="AR14" s="909"/>
      <c r="AS14" s="909"/>
      <c r="AT14" s="909"/>
      <c r="AU14" s="909"/>
      <c r="AV14" s="909"/>
      <c r="AW14" s="909"/>
      <c r="AX14" s="909"/>
      <c r="AY14" s="909"/>
      <c r="AZ14" s="909"/>
      <c r="BA14" s="909"/>
      <c r="BB14" s="909"/>
      <c r="BC14" s="909"/>
      <c r="BD14" s="909"/>
      <c r="BE14" s="909"/>
      <c r="BF14" s="909"/>
      <c r="BG14" s="760">
        <v>10</v>
      </c>
    </row>
    <row customHeight="1" ht="13.5">
      <c r="E15" s="909"/>
      <c r="F15" s="916" t="s">
        <v>1016</v>
      </c>
      <c r="G15" s="916"/>
      <c r="H15" s="1173"/>
      <c r="I15" s="916"/>
      <c r="J15" s="916"/>
      <c r="K15" s="913"/>
      <c r="L15" s="1129"/>
      <c r="M15" s="1129"/>
      <c r="N15" s="915"/>
      <c r="O15" s="915"/>
      <c r="P15" s="915"/>
      <c r="Q15" s="915"/>
      <c r="R15" s="915"/>
      <c r="S15" s="915"/>
      <c r="T15" s="915"/>
      <c r="U15" s="915"/>
      <c r="V15" s="915"/>
      <c r="W15" s="915"/>
      <c r="X15" s="915"/>
      <c r="Y15" s="915"/>
      <c r="Z15" s="913"/>
      <c r="AA15" s="913"/>
      <c r="AB15" s="913"/>
      <c r="AC15" s="913"/>
      <c r="AD15" s="1129"/>
      <c r="AE15" s="913"/>
      <c r="AF15" s="913"/>
      <c r="AG15" s="913"/>
      <c r="AH15" s="1148"/>
      <c r="AI15" s="1141"/>
      <c r="AJ15" s="913"/>
      <c r="AK15" s="913"/>
      <c r="AL15" s="909"/>
      <c r="AM15" s="909"/>
      <c r="AN15" s="909"/>
      <c r="AO15" s="909"/>
      <c r="AP15" s="909"/>
      <c r="AQ15" s="909"/>
      <c r="AR15" s="909"/>
      <c r="AS15" s="909"/>
      <c r="AT15" s="909"/>
      <c r="AU15" s="909"/>
      <c r="AV15" s="909"/>
      <c r="AW15" s="909"/>
      <c r="AX15" s="909"/>
      <c r="AY15" s="909"/>
      <c r="AZ15" s="909"/>
      <c r="BA15" s="909"/>
      <c r="BB15" s="909"/>
      <c r="BC15" s="909"/>
      <c r="BD15" s="909"/>
      <c r="BE15" s="909"/>
      <c r="BF15" s="909"/>
      <c r="BG15" s="760">
        <v>13</v>
      </c>
    </row>
    <row customHeight="1" ht="10.5">
      <c r="BG16" s="760">
        <v>10</v>
      </c>
    </row>
    <row customHeight="1" ht="10.5">
      <c r="E17" s="909"/>
      <c r="F17" s="2409"/>
      <c r="G17" s="2409"/>
      <c r="H17" s="2409"/>
      <c r="I17" s="2409"/>
      <c r="J17" s="2409"/>
      <c r="K17" s="913"/>
      <c r="L17" s="1129"/>
      <c r="M17" s="1129"/>
      <c r="N17" s="915"/>
      <c r="O17" s="915"/>
      <c r="P17" s="915"/>
      <c r="Q17" s="915"/>
      <c r="R17" s="915"/>
      <c r="S17" s="915"/>
      <c r="T17" s="915"/>
      <c r="U17" s="915"/>
      <c r="V17" s="915"/>
      <c r="W17" s="915"/>
      <c r="X17" s="915"/>
      <c r="Y17" s="915"/>
      <c r="Z17" s="913"/>
      <c r="AA17" s="913"/>
      <c r="AB17" s="913"/>
      <c r="AC17" s="913"/>
      <c r="AD17" s="1129"/>
      <c r="AE17" s="913"/>
      <c r="AF17" s="913"/>
      <c r="AG17" s="913"/>
      <c r="AH17" s="1148"/>
      <c r="AI17" s="1141"/>
      <c r="AJ17" s="913"/>
      <c r="AK17" s="913"/>
      <c r="AL17" s="909"/>
      <c r="AM17" s="909"/>
      <c r="AN17" s="909"/>
      <c r="AO17" s="909"/>
      <c r="AP17" s="909"/>
      <c r="AQ17" s="909"/>
      <c r="AR17" s="909"/>
      <c r="AS17" s="909"/>
      <c r="AT17" s="909"/>
      <c r="AU17" s="909"/>
      <c r="AV17" s="909"/>
      <c r="AW17" s="909"/>
      <c r="AX17" s="909"/>
      <c r="AY17" s="909"/>
      <c r="AZ17" s="909"/>
      <c r="BA17" s="909"/>
      <c r="BB17" s="909"/>
      <c r="BC17" s="909"/>
      <c r="BD17" s="909"/>
      <c r="BE17" s="909"/>
      <c r="BF17" s="909"/>
      <c r="BG17" s="760">
        <v>10</v>
      </c>
    </row>
    <row customHeight="1" ht="10.5">
      <c r="E18" s="909"/>
      <c r="F18" s="2409"/>
      <c r="G18" s="2409"/>
      <c r="H18" s="2409"/>
      <c r="I18" s="2409"/>
      <c r="J18" s="2409"/>
      <c r="K18" s="913"/>
      <c r="L18" s="1129"/>
      <c r="M18" s="1129"/>
      <c r="N18" s="915"/>
      <c r="O18" s="915"/>
      <c r="P18" s="915"/>
      <c r="Q18" s="915"/>
      <c r="R18" s="915"/>
      <c r="S18" s="915"/>
      <c r="T18" s="915"/>
      <c r="U18" s="915"/>
      <c r="V18" s="915"/>
      <c r="W18" s="915"/>
      <c r="X18" s="915"/>
      <c r="Y18" s="915"/>
      <c r="Z18" s="913"/>
      <c r="AA18" s="913"/>
      <c r="AB18" s="913"/>
      <c r="AC18" s="913"/>
      <c r="AD18" s="1129"/>
      <c r="AE18" s="913"/>
      <c r="AF18" s="913"/>
      <c r="AG18" s="913"/>
      <c r="AH18" s="1148"/>
      <c r="AI18" s="1141"/>
      <c r="AJ18" s="913"/>
      <c r="AK18" s="913"/>
      <c r="AL18" s="909"/>
      <c r="AM18" s="909"/>
      <c r="AN18" s="909"/>
      <c r="AO18" s="909"/>
      <c r="AP18" s="909"/>
      <c r="AQ18" s="909"/>
      <c r="AR18" s="909"/>
      <c r="AS18" s="909"/>
      <c r="AT18" s="909"/>
      <c r="AU18" s="909"/>
      <c r="AV18" s="909"/>
      <c r="AW18" s="909"/>
      <c r="AX18" s="909"/>
      <c r="AY18" s="909"/>
      <c r="AZ18" s="909"/>
      <c r="BA18" s="909"/>
      <c r="BB18" s="909"/>
      <c r="BC18" s="909"/>
      <c r="BD18" s="909"/>
      <c r="BE18" s="909"/>
      <c r="BF18" s="909"/>
      <c r="BG18" s="760">
        <v>10</v>
      </c>
    </row>
    <row customHeight="1" ht="10.5">
      <c r="E19" s="909"/>
      <c r="F19" s="2409"/>
      <c r="G19" s="2409"/>
      <c r="H19" s="2409"/>
      <c r="I19" s="2409"/>
      <c r="J19" s="2409"/>
      <c r="K19" s="913"/>
      <c r="L19" s="1129"/>
      <c r="M19" s="1129"/>
      <c r="N19" s="915"/>
      <c r="O19" s="915"/>
      <c r="P19" s="915"/>
      <c r="Q19" s="915"/>
      <c r="R19" s="915"/>
      <c r="S19" s="915"/>
      <c r="T19" s="915"/>
      <c r="U19" s="915"/>
      <c r="V19" s="915"/>
      <c r="W19" s="915"/>
      <c r="X19" s="915"/>
      <c r="Y19" s="915"/>
      <c r="Z19" s="913"/>
      <c r="AA19" s="913"/>
      <c r="AB19" s="913"/>
      <c r="AC19" s="913"/>
      <c r="AD19" s="1129"/>
      <c r="AE19" s="913"/>
      <c r="AF19" s="913"/>
      <c r="AG19" s="913"/>
      <c r="AH19" s="1148"/>
      <c r="AI19" s="1141"/>
      <c r="AJ19" s="913"/>
      <c r="AK19" s="913"/>
      <c r="AL19" s="909"/>
      <c r="AM19" s="909"/>
      <c r="AN19" s="909"/>
      <c r="AO19" s="909"/>
      <c r="AP19" s="909"/>
      <c r="AQ19" s="909"/>
      <c r="AR19" s="909"/>
      <c r="AS19" s="909"/>
      <c r="AT19" s="909"/>
      <c r="AU19" s="909"/>
      <c r="AV19" s="909"/>
      <c r="AW19" s="909"/>
      <c r="AX19" s="909"/>
      <c r="AY19" s="909"/>
      <c r="AZ19" s="909"/>
      <c r="BA19" s="909"/>
      <c r="BB19" s="909"/>
      <c r="BC19" s="909"/>
      <c r="BD19" s="909"/>
      <c r="BE19" s="909"/>
      <c r="BF19" s="909"/>
      <c r="BG19" s="760">
        <v>10</v>
      </c>
    </row>
    <row customHeight="1" ht="10.5" hidden="1">
      <c r="A20" s="897" t="s">
        <v>82</v>
      </c>
      <c r="B20" s="897">
        <v>0</v>
      </c>
      <c r="C20" s="897">
        <v>0</v>
      </c>
      <c r="D20" s="419">
        <v>0</v>
      </c>
      <c r="E20" s="511">
        <v>3</v>
      </c>
      <c r="F20" s="760">
        <v>14</v>
      </c>
      <c r="G20" s="760">
        <v>3</v>
      </c>
      <c r="H20" s="1157">
        <v>7</v>
      </c>
      <c r="I20" s="760">
        <v>16</v>
      </c>
      <c r="J20" s="760">
        <v>16</v>
      </c>
      <c r="K20" s="760">
        <v>25</v>
      </c>
      <c r="L20" s="1127">
        <v>7</v>
      </c>
      <c r="M20" s="1127">
        <v>15</v>
      </c>
      <c r="N20" s="760">
        <v>3</v>
      </c>
      <c r="O20" s="760">
        <v>4</v>
      </c>
      <c r="P20" s="760">
        <v>8</v>
      </c>
      <c r="Q20" s="760">
        <v>21</v>
      </c>
      <c r="R20" s="760">
        <v>14</v>
      </c>
      <c r="S20" s="760">
        <v>17</v>
      </c>
      <c r="T20" s="760">
        <v>17</v>
      </c>
      <c r="U20" s="760">
        <v>9</v>
      </c>
      <c r="V20" s="760">
        <v>12</v>
      </c>
      <c r="W20" s="760">
        <v>9</v>
      </c>
      <c r="X20" s="760">
        <v>21</v>
      </c>
      <c r="Y20" s="760">
        <v>12</v>
      </c>
      <c r="Z20" s="760">
        <v>3</v>
      </c>
      <c r="AA20" s="760">
        <v>6</v>
      </c>
      <c r="AB20" s="760">
        <v>38</v>
      </c>
      <c r="AC20" s="760">
        <v>15</v>
      </c>
      <c r="AD20" s="1127">
        <v>0</v>
      </c>
      <c r="AE20" s="760">
        <v>0</v>
      </c>
      <c r="AF20" s="760">
        <v>16</v>
      </c>
      <c r="AG20" s="760">
        <v>16</v>
      </c>
      <c r="AH20" s="1146">
        <v>16</v>
      </c>
      <c r="AI20" s="1139">
        <v>0</v>
      </c>
      <c r="AJ20" s="760">
        <v>0</v>
      </c>
      <c r="AK20" s="760">
        <v>0</v>
      </c>
      <c r="AL20" s="760">
        <v>8</v>
      </c>
      <c r="AM20" s="760">
        <v>8</v>
      </c>
      <c r="AN20" s="760">
        <v>8</v>
      </c>
      <c r="AO20" s="760">
        <v>8</v>
      </c>
      <c r="AP20" s="760">
        <v>8</v>
      </c>
      <c r="AQ20" s="760">
        <v>8</v>
      </c>
      <c r="AR20" s="760">
        <v>8</v>
      </c>
      <c r="AS20" s="760">
        <v>8</v>
      </c>
      <c r="AT20" s="760">
        <v>8</v>
      </c>
      <c r="AU20" s="760">
        <v>8</v>
      </c>
      <c r="AV20" s="760">
        <v>8</v>
      </c>
      <c r="AW20" s="760">
        <v>8</v>
      </c>
      <c r="AX20" s="760">
        <v>8</v>
      </c>
      <c r="AY20" s="760">
        <v>8</v>
      </c>
      <c r="AZ20" s="760">
        <v>8</v>
      </c>
      <c r="BA20" s="760">
        <v>8</v>
      </c>
      <c r="BB20" s="760">
        <v>8</v>
      </c>
      <c r="BC20" s="760">
        <v>8</v>
      </c>
      <c r="BD20" s="760">
        <v>8</v>
      </c>
      <c r="BE20" s="760">
        <v>8</v>
      </c>
      <c r="BF20" s="760">
        <v>8</v>
      </c>
      <c r="BG20" s="760">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502E8A-F103-0B4F-3112-76E7DD8CE9D4}"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6.00390625" customWidth="1"/>
    <col min="7" max="7" style="1637" width="60.00390625" customWidth="1"/>
    <col min="8" max="9" style="1637" width="21.7109375" hidden="1" customWidth="1"/>
    <col min="10" max="10" style="1637" width="0.140625" customWidth="1"/>
    <col min="11" max="11" style="1637" width="1.00390625" customWidth="1"/>
    <col min="12" max="22" style="1637" width="8.00390625" customWidth="1"/>
    <col min="23" max="23" style="1637" width="9.140625" hidden="1"/>
  </cols>
  <sheetData>
    <row s="1368" customFormat="1" customHeight="1" ht="10.5" hidden="1">
      <c r="A1" s="1168"/>
      <c r="B1" s="1168"/>
      <c r="C1" s="1168"/>
      <c r="E1" s="539"/>
      <c r="W1" s="1162" t="s">
        <v>14</v>
      </c>
    </row>
    <row customHeight="1" ht="10.5" hidden="1">
      <c r="W2" s="1157">
        <v>0</v>
      </c>
    </row>
    <row s="1634" customFormat="1" customHeight="1" ht="10.5" hidden="1">
      <c r="A3" s="1168"/>
      <c r="B3" s="1168"/>
      <c r="C3" s="1168"/>
      <c r="D3" s="1162"/>
      <c r="E3" s="364"/>
      <c r="W3" s="1158">
        <v>0</v>
      </c>
    </row>
    <row customHeight="1" ht="3">
      <c r="W4" s="1157">
        <v>3</v>
      </c>
    </row>
    <row customHeight="1" ht="27.299999999999997">
      <c r="F5" s="225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0"/>
      <c r="H5" s="2250"/>
      <c r="I5" s="2250"/>
      <c r="J5" s="2250"/>
      <c r="W5" s="1157">
        <v>26</v>
      </c>
    </row>
    <row customHeight="1" ht="10.5">
      <c r="F6" s="2178" t="str">
        <f>IF(org=0,"Не определено",org)</f>
        <v>ПАО "ТГК-2"</v>
      </c>
      <c r="G6" s="2178"/>
      <c r="H6" s="2178"/>
      <c r="I6" s="2178"/>
      <c r="J6" s="2178"/>
      <c r="W6" s="1157">
        <v>10</v>
      </c>
    </row>
    <row customHeight="1" ht="11.549999999999999">
      <c r="E7" s="1172"/>
      <c r="F7" s="1229"/>
      <c r="G7" s="1229"/>
      <c r="H7" s="1229"/>
      <c r="I7" s="1229"/>
      <c r="J7" s="1229"/>
      <c r="K7" s="1159"/>
      <c r="L7" s="1159"/>
      <c r="M7" s="1159"/>
      <c r="N7" s="1159"/>
      <c r="O7" s="1159"/>
      <c r="P7" s="1159"/>
      <c r="Q7" s="1159"/>
      <c r="R7" s="1159"/>
      <c r="S7" s="1159"/>
      <c r="T7" s="1159"/>
      <c r="U7" s="1159"/>
      <c r="V7" s="1159"/>
      <c r="W7" s="1157">
        <v>11</v>
      </c>
    </row>
    <row s="1644" customFormat="1" customHeight="1" ht="4.2">
      <c r="A8" s="1169"/>
      <c r="B8" s="1169"/>
      <c r="C8" s="1169"/>
      <c r="E8" s="1230"/>
      <c r="F8" s="1231"/>
      <c r="G8" s="1231"/>
      <c r="H8" s="1231"/>
      <c r="I8" s="1231"/>
      <c r="J8" s="1231"/>
      <c r="K8" s="1230"/>
      <c r="L8" s="1230"/>
      <c r="M8" s="1230"/>
      <c r="N8" s="1230"/>
      <c r="O8" s="1230"/>
      <c r="P8" s="1230"/>
      <c r="Q8" s="1230"/>
      <c r="R8" s="1230"/>
      <c r="S8" s="1230"/>
      <c r="T8" s="1230"/>
      <c r="U8" s="1230"/>
      <c r="V8" s="1230"/>
      <c r="W8" s="513">
        <v>4</v>
      </c>
    </row>
    <row customHeight="1" ht="10.5">
      <c r="E9" s="1172"/>
      <c r="F9" s="2421" t="s">
        <v>300</v>
      </c>
      <c r="G9" s="2422"/>
      <c r="H9" s="2422"/>
      <c r="I9" s="2422"/>
      <c r="J9" s="2422"/>
      <c r="K9" s="1242"/>
      <c r="L9" s="1159"/>
      <c r="M9" s="1159"/>
      <c r="N9" s="1159"/>
      <c r="O9" s="1159"/>
      <c r="P9" s="1159"/>
      <c r="Q9" s="1159"/>
      <c r="R9" s="1159"/>
      <c r="S9" s="1159"/>
      <c r="T9" s="1159"/>
      <c r="U9" s="1159"/>
      <c r="V9" s="1159"/>
      <c r="W9" s="1157">
        <v>10</v>
      </c>
    </row>
    <row customHeight="1" ht="25.2">
      <c r="E10" s="1159"/>
      <c r="F10" s="2425" t="s">
        <v>88</v>
      </c>
      <c r="G10" s="2430" t="s">
        <v>1017</v>
      </c>
      <c r="H10" s="2428" t="s">
        <v>1018</v>
      </c>
      <c r="I10" s="2428"/>
      <c r="J10" s="2428"/>
      <c r="K10" s="1235"/>
      <c r="L10" s="1159"/>
      <c r="M10" s="1159"/>
      <c r="N10" s="1159"/>
      <c r="O10" s="1159"/>
      <c r="P10" s="1159"/>
      <c r="Q10" s="1159"/>
      <c r="R10" s="1159"/>
      <c r="S10" s="1159"/>
      <c r="T10" s="1159"/>
      <c r="U10" s="1159"/>
      <c r="V10" s="1159"/>
      <c r="W10" s="1157">
        <v>24</v>
      </c>
    </row>
    <row customHeight="1" ht="25.5">
      <c r="E11" s="1159"/>
      <c r="F11" s="2426"/>
      <c r="G11" s="2430"/>
      <c r="H11" s="2429">
        <f>INDEX(IP_MAIN_LIST_NAME_IP,MATCH(H8,IP_MAIN_LIST_IP_ID,0))&amp;" ("&amp;INDEX(IP_MAIN_START_DATE,MATCH(H8,IP_MAIN_LIST_IP_ID,0))&amp;"-"&amp;INDEX(IP_MAIN_END_DATE,MATCH(H8,IP_MAIN_LIST_IP_ID,0))&amp;")"</f>
      </c>
      <c r="I11" s="2429"/>
      <c r="J11" s="2429"/>
      <c r="K11" s="1235"/>
      <c r="L11" s="1159"/>
      <c r="M11" s="1159"/>
      <c r="N11" s="1159"/>
      <c r="O11" s="1159"/>
      <c r="P11" s="1159"/>
      <c r="Q11" s="1159"/>
      <c r="R11" s="1159"/>
      <c r="S11" s="1159"/>
      <c r="T11" s="1159"/>
      <c r="U11" s="1159"/>
      <c r="V11" s="1159"/>
      <c r="W11" s="1157">
        <v>24</v>
      </c>
    </row>
    <row customHeight="1" ht="10.5">
      <c r="F12" s="2427"/>
      <c r="G12" s="2430"/>
      <c r="H12" s="1228" t="s">
        <v>1019</v>
      </c>
      <c r="I12" s="1234"/>
      <c r="J12" s="1228"/>
      <c r="K12" s="1236"/>
      <c r="W12" s="1157">
        <v>10</v>
      </c>
    </row>
    <row customHeight="1" ht="10.5" hidden="1">
      <c r="F13" s="1228">
        <v>1</v>
      </c>
      <c r="G13" s="1228">
        <v>2</v>
      </c>
      <c r="H13" s="1228">
        <v>3</v>
      </c>
      <c r="I13" s="1228">
        <v>4</v>
      </c>
      <c r="J13" s="1228">
        <v>5</v>
      </c>
      <c r="K13" s="1236"/>
      <c r="W13" s="1157">
        <v>0</v>
      </c>
    </row>
    <row customHeight="1" ht="11.549999999999999">
      <c r="F14" s="1227" t="s">
        <v>1020</v>
      </c>
      <c r="G14" s="2423" t="s">
        <v>1021</v>
      </c>
      <c r="H14" s="2423"/>
      <c r="I14" s="2423"/>
      <c r="J14" s="2423"/>
      <c r="K14" s="1236"/>
      <c r="W14" s="1157">
        <v>11</v>
      </c>
    </row>
    <row customHeight="1" ht="11.549999999999999">
      <c r="F15" s="1232">
        <v>1</v>
      </c>
      <c r="G15" s="692" t="s">
        <v>1022</v>
      </c>
      <c r="H15" s="1238">
        <f>SUM(I15:J15)</f>
        <v>0</v>
      </c>
      <c r="I15" s="1238">
        <f>SUM(I16:I27)</f>
        <v>0</v>
      </c>
      <c r="J15" s="1227"/>
      <c r="K15" s="1236"/>
      <c r="W15" s="1157">
        <v>11</v>
      </c>
    </row>
    <row customHeight="1" ht="24">
      <c r="F16" s="1232" t="s">
        <v>1023</v>
      </c>
      <c r="G16" s="1239" t="s">
        <v>1024</v>
      </c>
      <c r="H16" s="1238">
        <f>SUM(I16:J16)</f>
        <v>0</v>
      </c>
      <c r="I16" s="1237"/>
      <c r="J16" s="1227"/>
      <c r="K16" s="1236"/>
      <c r="W16" s="1157">
        <v>23</v>
      </c>
    </row>
    <row customHeight="1" ht="24">
      <c r="F17" s="1232" t="s">
        <v>1025</v>
      </c>
      <c r="G17" s="1239" t="s">
        <v>1026</v>
      </c>
      <c r="H17" s="1238">
        <f>SUM(I17:J17)</f>
        <v>0</v>
      </c>
      <c r="I17" s="1237"/>
      <c r="J17" s="1227"/>
      <c r="K17" s="1236"/>
      <c r="W17" s="1157">
        <v>23</v>
      </c>
    </row>
    <row customHeight="1" ht="35.699999999999996">
      <c r="F18" s="1232" t="s">
        <v>1027</v>
      </c>
      <c r="G18" s="1239" t="s">
        <v>1028</v>
      </c>
      <c r="H18" s="1238">
        <f>SUM(I18:J18)</f>
        <v>0</v>
      </c>
      <c r="I18" s="1237"/>
      <c r="J18" s="1227"/>
      <c r="K18" s="1236"/>
      <c r="W18" s="1157">
        <v>34</v>
      </c>
    </row>
    <row customHeight="1" ht="35.699999999999996">
      <c r="F19" s="1232" t="s">
        <v>1029</v>
      </c>
      <c r="G19" s="1239" t="s">
        <v>1030</v>
      </c>
      <c r="H19" s="1238">
        <f>SUM(I19:J19)</f>
        <v>0</v>
      </c>
      <c r="I19" s="1237"/>
      <c r="J19" s="1227"/>
      <c r="K19" s="1236"/>
      <c r="W19" s="1157">
        <v>34</v>
      </c>
    </row>
    <row customHeight="1" ht="48.29999999999999">
      <c r="F20" s="1232" t="s">
        <v>1031</v>
      </c>
      <c r="G20" s="1239" t="s">
        <v>1032</v>
      </c>
      <c r="H20" s="1238">
        <f>SUM(I20:J20)</f>
        <v>0</v>
      </c>
      <c r="I20" s="1237"/>
      <c r="J20" s="1227"/>
      <c r="K20" s="1236"/>
      <c r="W20" s="1157">
        <v>46</v>
      </c>
    </row>
    <row customHeight="1" ht="35.699999999999996">
      <c r="F21" s="1232" t="s">
        <v>1033</v>
      </c>
      <c r="G21" s="1239" t="s">
        <v>1034</v>
      </c>
      <c r="H21" s="1238">
        <f>SUM(I21:J21)</f>
        <v>0</v>
      </c>
      <c r="I21" s="1237"/>
      <c r="J21" s="1227"/>
      <c r="K21" s="1236"/>
      <c r="W21" s="1157">
        <v>34</v>
      </c>
    </row>
    <row customHeight="1" ht="35.699999999999996">
      <c r="F22" s="1232" t="s">
        <v>1035</v>
      </c>
      <c r="G22" s="1239" t="s">
        <v>1036</v>
      </c>
      <c r="H22" s="1238">
        <f>SUM(I22:J22)</f>
        <v>0</v>
      </c>
      <c r="I22" s="1237"/>
      <c r="J22" s="1227"/>
      <c r="K22" s="1236"/>
      <c r="W22" s="1157">
        <v>34</v>
      </c>
    </row>
    <row customHeight="1" ht="24">
      <c r="F23" s="1232" t="s">
        <v>1037</v>
      </c>
      <c r="G23" s="1239" t="s">
        <v>1038</v>
      </c>
      <c r="H23" s="1238">
        <f>SUM(I23:J23)</f>
        <v>0</v>
      </c>
      <c r="I23" s="1237"/>
      <c r="J23" s="1227"/>
      <c r="K23" s="1236"/>
      <c r="W23" s="1157">
        <v>23</v>
      </c>
    </row>
    <row customHeight="1" ht="24">
      <c r="F24" s="1232" t="s">
        <v>1039</v>
      </c>
      <c r="G24" s="1239" t="s">
        <v>1040</v>
      </c>
      <c r="H24" s="1238">
        <f>SUM(I24:J24)</f>
        <v>0</v>
      </c>
      <c r="I24" s="1237"/>
      <c r="J24" s="1227"/>
      <c r="K24" s="1236"/>
      <c r="W24" s="1157">
        <v>23</v>
      </c>
    </row>
    <row customHeight="1" ht="35.699999999999996">
      <c r="F25" s="1232" t="s">
        <v>1041</v>
      </c>
      <c r="G25" s="1239" t="s">
        <v>1042</v>
      </c>
      <c r="H25" s="1238">
        <f>SUM(I25:J25)</f>
        <v>0</v>
      </c>
      <c r="I25" s="1237"/>
      <c r="J25" s="1227"/>
      <c r="K25" s="1236"/>
      <c r="W25" s="1157">
        <v>34</v>
      </c>
    </row>
    <row customHeight="1" ht="35.699999999999996">
      <c r="F26" s="1232" t="s">
        <v>1043</v>
      </c>
      <c r="G26" s="1239" t="s">
        <v>1044</v>
      </c>
      <c r="H26" s="1238">
        <f>SUM(I26:J26)</f>
        <v>0</v>
      </c>
      <c r="I26" s="1237"/>
      <c r="J26" s="1227"/>
      <c r="K26" s="1236"/>
      <c r="W26" s="1157">
        <v>34</v>
      </c>
    </row>
    <row customHeight="1" ht="11.549999999999999">
      <c r="F27" s="1232" t="s">
        <v>1045</v>
      </c>
      <c r="G27" s="1239" t="s">
        <v>1046</v>
      </c>
      <c r="H27" s="1238">
        <f>SUM(I27:J27)</f>
        <v>0</v>
      </c>
      <c r="I27" s="1237"/>
      <c r="J27" s="1227"/>
      <c r="K27" s="1236"/>
      <c r="W27" s="1157">
        <v>11</v>
      </c>
    </row>
    <row customHeight="1" ht="11.549999999999999">
      <c r="F28" s="1232">
        <v>2</v>
      </c>
      <c r="G28" s="692" t="s">
        <v>1047</v>
      </c>
      <c r="H28" s="1238">
        <f>SUM(I28:J28)</f>
        <v>0</v>
      </c>
      <c r="I28" s="1238">
        <f>SUM(I29:I31)</f>
        <v>0</v>
      </c>
      <c r="J28" s="1227"/>
      <c r="K28" s="1236"/>
      <c r="W28" s="1157">
        <v>11</v>
      </c>
    </row>
    <row customHeight="1" ht="11.549999999999999">
      <c r="F29" s="1232" t="s">
        <v>709</v>
      </c>
      <c r="G29" s="1239" t="s">
        <v>1048</v>
      </c>
      <c r="H29" s="1238">
        <f>SUM(I29:J29)</f>
        <v>0</v>
      </c>
      <c r="I29" s="1237"/>
      <c r="J29" s="1227"/>
      <c r="K29" s="1236"/>
      <c r="W29" s="1157">
        <v>11</v>
      </c>
    </row>
    <row customHeight="1" ht="11.549999999999999">
      <c r="F30" s="1232" t="s">
        <v>307</v>
      </c>
      <c r="G30" s="1239" t="s">
        <v>1049</v>
      </c>
      <c r="H30" s="1238">
        <f>SUM(I30:J30)</f>
        <v>0</v>
      </c>
      <c r="I30" s="1237"/>
      <c r="J30" s="1227"/>
      <c r="K30" s="1236"/>
      <c r="W30" s="1157">
        <v>11</v>
      </c>
    </row>
    <row customHeight="1" ht="11.549999999999999">
      <c r="F31" s="1232" t="s">
        <v>310</v>
      </c>
      <c r="G31" s="1239" t="s">
        <v>1050</v>
      </c>
      <c r="H31" s="1238">
        <f>SUM(I31:J31)</f>
        <v>0</v>
      </c>
      <c r="I31" s="1237"/>
      <c r="J31" s="1227"/>
      <c r="K31" s="1236"/>
      <c r="W31" s="1157">
        <v>11</v>
      </c>
    </row>
    <row customHeight="1" ht="11.549999999999999">
      <c r="F32" s="1232">
        <v>3</v>
      </c>
      <c r="G32" s="692" t="s">
        <v>1051</v>
      </c>
      <c r="H32" s="1238">
        <f>SUM(I32:J32)</f>
        <v>0</v>
      </c>
      <c r="I32" s="1238">
        <f>SUM(I33:I34)</f>
        <v>0</v>
      </c>
      <c r="J32" s="1227"/>
      <c r="K32" s="1236"/>
      <c r="W32" s="1157">
        <v>11</v>
      </c>
    </row>
    <row customHeight="1" ht="48.29999999999999">
      <c r="F33" s="1232" t="s">
        <v>324</v>
      </c>
      <c r="G33" s="1239" t="s">
        <v>1052</v>
      </c>
      <c r="H33" s="1238">
        <f>SUM(I33:J33)</f>
        <v>0</v>
      </c>
      <c r="I33" s="1237"/>
      <c r="J33" s="1227"/>
      <c r="K33" s="1236"/>
      <c r="W33" s="1157">
        <v>46</v>
      </c>
    </row>
    <row customHeight="1" ht="11.549999999999999">
      <c r="F34" s="1232" t="s">
        <v>332</v>
      </c>
      <c r="G34" s="1239" t="s">
        <v>1053</v>
      </c>
      <c r="H34" s="1238">
        <f>SUM(I34:J34)</f>
        <v>0</v>
      </c>
      <c r="I34" s="1237"/>
      <c r="J34" s="1227"/>
      <c r="K34" s="1236"/>
      <c r="W34" s="1157">
        <v>11</v>
      </c>
    </row>
    <row customHeight="1" ht="11.549999999999999">
      <c r="F35" s="1232">
        <v>4</v>
      </c>
      <c r="G35" s="692" t="s">
        <v>1054</v>
      </c>
      <c r="H35" s="1238">
        <f>SUM(I35:J35)</f>
        <v>0</v>
      </c>
      <c r="I35" s="1237"/>
      <c r="J35" s="1227"/>
      <c r="K35" s="1236"/>
      <c r="W35" s="1157">
        <v>11</v>
      </c>
    </row>
    <row customHeight="1" ht="11.549999999999999">
      <c r="F36" s="1232"/>
      <c r="G36" s="695" t="s">
        <v>1055</v>
      </c>
      <c r="H36" s="1238">
        <f>SUM(I36:J36)</f>
        <v>0</v>
      </c>
      <c r="I36" s="1238">
        <f>SUM(I15,I28,I32,I35)</f>
        <v>0</v>
      </c>
      <c r="J36" s="1227"/>
      <c r="K36" s="1236"/>
      <c r="W36" s="1157">
        <v>11</v>
      </c>
    </row>
    <row customHeight="1" ht="29.25">
      <c r="F37" s="1233" t="s">
        <v>1056</v>
      </c>
      <c r="G37" s="2424" t="s">
        <v>1057</v>
      </c>
      <c r="H37" s="2424"/>
      <c r="I37" s="2424"/>
      <c r="J37" s="2424"/>
      <c r="K37" s="1236"/>
      <c r="W37" s="1157">
        <v>28</v>
      </c>
    </row>
    <row customHeight="1" ht="24">
      <c r="F38" s="1232" t="s">
        <v>109</v>
      </c>
      <c r="G38" s="692" t="s">
        <v>1058</v>
      </c>
      <c r="H38" s="1238">
        <f>SUM(I38:J38)</f>
        <v>0</v>
      </c>
      <c r="I38" s="1238">
        <f>SUM(I39,I44,I47)</f>
        <v>0</v>
      </c>
      <c r="J38" s="1227"/>
      <c r="K38" s="1236"/>
      <c r="W38" s="1157">
        <v>23</v>
      </c>
    </row>
    <row customHeight="1" ht="11.549999999999999">
      <c r="F39" s="1232" t="s">
        <v>1023</v>
      </c>
      <c r="G39" s="1239" t="s">
        <v>1022</v>
      </c>
      <c r="H39" s="1238">
        <f>SUM(I39:J39)</f>
        <v>0</v>
      </c>
      <c r="I39" s="1238">
        <f>SUM(I40:I43)</f>
        <v>0</v>
      </c>
      <c r="J39" s="1227"/>
      <c r="K39" s="1236"/>
      <c r="W39" s="1157">
        <v>11</v>
      </c>
    </row>
    <row customHeight="1" ht="24">
      <c r="F40" s="1232" t="s">
        <v>1059</v>
      </c>
      <c r="G40" s="1240" t="s">
        <v>1060</v>
      </c>
      <c r="H40" s="1238">
        <f>SUM(I40:J40)</f>
        <v>0</v>
      </c>
      <c r="I40" s="1237"/>
      <c r="J40" s="1227"/>
      <c r="K40" s="1236"/>
      <c r="W40" s="1157">
        <v>23</v>
      </c>
    </row>
    <row customHeight="1" ht="11.549999999999999">
      <c r="F41" s="1232" t="s">
        <v>1061</v>
      </c>
      <c r="G41" s="1240" t="s">
        <v>1062</v>
      </c>
      <c r="H41" s="1238">
        <f>SUM(I41:J41)</f>
        <v>0</v>
      </c>
      <c r="I41" s="1237"/>
      <c r="J41" s="1227"/>
      <c r="K41" s="1236"/>
      <c r="W41" s="1157">
        <v>11</v>
      </c>
    </row>
    <row customHeight="1" ht="11.549999999999999">
      <c r="F42" s="1232" t="s">
        <v>1063</v>
      </c>
      <c r="G42" s="1240" t="s">
        <v>1064</v>
      </c>
      <c r="H42" s="1238">
        <f>SUM(I42:J42)</f>
        <v>0</v>
      </c>
      <c r="I42" s="1237"/>
      <c r="J42" s="1227"/>
      <c r="K42" s="1236"/>
      <c r="W42" s="1157">
        <v>11</v>
      </c>
    </row>
    <row customHeight="1" ht="35.699999999999996">
      <c r="F43" s="1232" t="s">
        <v>1065</v>
      </c>
      <c r="G43" s="1240" t="s">
        <v>1066</v>
      </c>
      <c r="H43" s="1238">
        <f>SUM(I43:J43)</f>
        <v>0</v>
      </c>
      <c r="I43" s="1237"/>
      <c r="J43" s="1227"/>
      <c r="K43" s="1236"/>
      <c r="W43" s="1157">
        <v>34</v>
      </c>
    </row>
    <row customHeight="1" ht="11.549999999999999">
      <c r="F44" s="1232" t="s">
        <v>1025</v>
      </c>
      <c r="G44" s="1239" t="s">
        <v>1051</v>
      </c>
      <c r="H44" s="1238">
        <f>SUM(I44:J44)</f>
        <v>0</v>
      </c>
      <c r="I44" s="1238">
        <f>SUM(I45:I46)</f>
        <v>0</v>
      </c>
      <c r="J44" s="1227"/>
      <c r="K44" s="1236"/>
      <c r="W44" s="1157">
        <v>11</v>
      </c>
    </row>
    <row customHeight="1" ht="48.29999999999999">
      <c r="F45" s="1232" t="s">
        <v>1067</v>
      </c>
      <c r="G45" s="1240" t="s">
        <v>1052</v>
      </c>
      <c r="H45" s="1238">
        <f>SUM(I45:J45)</f>
        <v>0</v>
      </c>
      <c r="I45" s="1237"/>
      <c r="J45" s="1227"/>
      <c r="K45" s="1236"/>
      <c r="W45" s="1157">
        <v>46</v>
      </c>
    </row>
    <row customHeight="1" ht="11.549999999999999">
      <c r="F46" s="1232" t="s">
        <v>1068</v>
      </c>
      <c r="G46" s="1240" t="s">
        <v>1053</v>
      </c>
      <c r="H46" s="1238">
        <f>SUM(I46:J46)</f>
        <v>0</v>
      </c>
      <c r="I46" s="1237"/>
      <c r="J46" s="1227"/>
      <c r="K46" s="1236"/>
      <c r="W46" s="1157">
        <v>11</v>
      </c>
    </row>
    <row customHeight="1" ht="11.549999999999999">
      <c r="F47" s="1232" t="s">
        <v>1027</v>
      </c>
      <c r="G47" s="1239" t="s">
        <v>1069</v>
      </c>
      <c r="H47" s="1238">
        <f>SUM(I47:J47)</f>
        <v>0</v>
      </c>
      <c r="I47" s="1237"/>
      <c r="J47" s="1227"/>
      <c r="K47" s="1236"/>
      <c r="W47" s="1157">
        <v>11</v>
      </c>
    </row>
    <row customHeight="1" ht="24">
      <c r="F48" s="1232" t="s">
        <v>110</v>
      </c>
      <c r="G48" s="692" t="s">
        <v>1070</v>
      </c>
      <c r="H48" s="1238">
        <f>SUM(I48:J48)</f>
        <v>0</v>
      </c>
      <c r="I48" s="1238">
        <f>SUM(I49,I54,I57)</f>
        <v>0</v>
      </c>
      <c r="J48" s="1227"/>
      <c r="K48" s="1236"/>
      <c r="W48" s="1157">
        <v>23</v>
      </c>
    </row>
    <row customHeight="1" ht="11.549999999999999">
      <c r="F49" s="1232" t="s">
        <v>709</v>
      </c>
      <c r="G49" s="1239" t="s">
        <v>1022</v>
      </c>
      <c r="H49" s="1238">
        <f>SUM(I49:J49)</f>
        <v>0</v>
      </c>
      <c r="I49" s="1238">
        <f>SUM(I50:I53)</f>
        <v>0</v>
      </c>
      <c r="J49" s="1227"/>
      <c r="K49" s="1236"/>
      <c r="W49" s="1157">
        <v>11</v>
      </c>
    </row>
    <row customHeight="1" ht="24">
      <c r="F50" s="1232" t="s">
        <v>712</v>
      </c>
      <c r="G50" s="1240" t="s">
        <v>1060</v>
      </c>
      <c r="H50" s="1238">
        <f>SUM(I50:J50)</f>
        <v>0</v>
      </c>
      <c r="I50" s="1237"/>
      <c r="J50" s="1227"/>
      <c r="K50" s="1236"/>
      <c r="W50" s="1157">
        <v>23</v>
      </c>
    </row>
    <row customHeight="1" ht="11.549999999999999">
      <c r="F51" s="1232" t="s">
        <v>715</v>
      </c>
      <c r="G51" s="1240" t="s">
        <v>1062</v>
      </c>
      <c r="H51" s="1238">
        <f>SUM(I51:J51)</f>
        <v>0</v>
      </c>
      <c r="I51" s="1237"/>
      <c r="J51" s="1227"/>
      <c r="K51" s="1236"/>
      <c r="W51" s="1157">
        <v>11</v>
      </c>
    </row>
    <row customHeight="1" ht="11.549999999999999">
      <c r="F52" s="1232" t="s">
        <v>1071</v>
      </c>
      <c r="G52" s="1240" t="s">
        <v>1064</v>
      </c>
      <c r="H52" s="1238">
        <f>SUM(I52:J52)</f>
        <v>0</v>
      </c>
      <c r="I52" s="1237"/>
      <c r="J52" s="1227"/>
      <c r="K52" s="1236"/>
      <c r="W52" s="1157">
        <v>11</v>
      </c>
    </row>
    <row customHeight="1" ht="35.699999999999996">
      <c r="F53" s="1232" t="s">
        <v>1072</v>
      </c>
      <c r="G53" s="1240" t="s">
        <v>1066</v>
      </c>
      <c r="H53" s="1238">
        <f>SUM(I53:J53)</f>
        <v>0</v>
      </c>
      <c r="I53" s="1237"/>
      <c r="J53" s="1227"/>
      <c r="K53" s="1236"/>
      <c r="W53" s="1157">
        <v>34</v>
      </c>
    </row>
    <row customHeight="1" ht="11.549999999999999">
      <c r="F54" s="1232" t="s">
        <v>307</v>
      </c>
      <c r="G54" s="1239" t="s">
        <v>1051</v>
      </c>
      <c r="H54" s="1238">
        <f>SUM(I54:J54)</f>
        <v>0</v>
      </c>
      <c r="I54" s="1238">
        <f>SUM(I55:I56)</f>
        <v>0</v>
      </c>
      <c r="J54" s="1227"/>
      <c r="K54" s="1236"/>
      <c r="W54" s="1157">
        <v>11</v>
      </c>
    </row>
    <row customHeight="1" ht="48.29999999999999">
      <c r="F55" s="1232" t="s">
        <v>719</v>
      </c>
      <c r="G55" s="1240" t="s">
        <v>1052</v>
      </c>
      <c r="H55" s="1238">
        <f>SUM(I55:J55)</f>
        <v>0</v>
      </c>
      <c r="I55" s="1237"/>
      <c r="J55" s="1227"/>
      <c r="K55" s="1236"/>
      <c r="W55" s="1157">
        <v>46</v>
      </c>
    </row>
    <row customHeight="1" ht="11.549999999999999">
      <c r="F56" s="1232" t="s">
        <v>721</v>
      </c>
      <c r="G56" s="1240" t="s">
        <v>1053</v>
      </c>
      <c r="H56" s="1238">
        <f>SUM(I56:J56)</f>
        <v>0</v>
      </c>
      <c r="I56" s="1237"/>
      <c r="J56" s="1227"/>
      <c r="K56" s="1236"/>
      <c r="W56" s="1157">
        <v>11</v>
      </c>
    </row>
    <row customHeight="1" ht="11.549999999999999">
      <c r="F57" s="1232" t="s">
        <v>310</v>
      </c>
      <c r="G57" s="1239" t="s">
        <v>1069</v>
      </c>
      <c r="H57" s="1238">
        <f>SUM(I57:J57)</f>
        <v>0</v>
      </c>
      <c r="I57" s="1237"/>
      <c r="J57" s="1227"/>
      <c r="K57" s="1236"/>
      <c r="W57" s="1157">
        <v>11</v>
      </c>
    </row>
    <row customHeight="1" ht="11.549999999999999">
      <c r="F58" s="1232"/>
      <c r="G58" s="1241" t="s">
        <v>1055</v>
      </c>
      <c r="H58" s="1238">
        <f>SUM(I58:J58)</f>
        <v>0</v>
      </c>
      <c r="I58" s="1238">
        <f>SUM(I38,I48)</f>
        <v>0</v>
      </c>
      <c r="J58" s="1227"/>
      <c r="K58" s="1236"/>
      <c r="W58" s="1157">
        <v>11</v>
      </c>
    </row>
    <row customHeight="1" ht="10.5" hidden="1">
      <c r="A59" s="1168" t="s">
        <v>82</v>
      </c>
      <c r="B59" s="1168">
        <v>0</v>
      </c>
      <c r="C59" s="1168">
        <v>0</v>
      </c>
      <c r="D59" s="1162">
        <v>0</v>
      </c>
      <c r="E59" s="511">
        <v>3</v>
      </c>
      <c r="F59" s="1157">
        <v>6</v>
      </c>
      <c r="G59" s="1157">
        <v>60</v>
      </c>
      <c r="H59" s="1157">
        <v>0</v>
      </c>
      <c r="I59" s="1157">
        <v>0</v>
      </c>
      <c r="J59" s="1157">
        <v>0</v>
      </c>
      <c r="K59" s="1157">
        <v>1</v>
      </c>
      <c r="L59" s="1157">
        <v>8</v>
      </c>
      <c r="M59" s="1157">
        <v>8</v>
      </c>
      <c r="N59" s="1157">
        <v>8</v>
      </c>
      <c r="O59" s="1157">
        <v>8</v>
      </c>
      <c r="P59" s="1157">
        <v>8</v>
      </c>
      <c r="Q59" s="1157">
        <v>8</v>
      </c>
      <c r="R59" s="1157">
        <v>8</v>
      </c>
      <c r="S59" s="1157">
        <v>8</v>
      </c>
      <c r="T59" s="1157">
        <v>8</v>
      </c>
      <c r="U59" s="1157">
        <v>8</v>
      </c>
      <c r="V59" s="1157">
        <v>8</v>
      </c>
      <c r="W59" s="1157">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E08E07-FEC8-6C7D-4D5D-912B82BA31B1}"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5" width="4.7109375" hidden="1" customWidth="1"/>
    <col min="2" max="2" style="938" width="4.7109375" hidden="1" customWidth="1"/>
    <col min="3" max="4" style="1065" width="4.7109375" hidden="1" customWidth="1"/>
    <col min="5" max="5" style="1065" width="3.00390625" customWidth="1"/>
    <col min="6" max="6" style="1065" width="6.00390625" customWidth="1"/>
    <col min="7" max="7" style="1065" width="18.00390625" customWidth="1"/>
    <col min="8" max="8" style="1065" width="27.00390625" customWidth="1"/>
    <col min="9" max="9" style="1065" width="18.00390625" customWidth="1"/>
    <col min="10" max="14" style="1065" width="0.8515625" hidden="1" customWidth="1"/>
    <col min="15" max="28" style="1065" width="21.7109375" customWidth="1"/>
    <col min="29" max="71" style="1065" width="0.8515625" customWidth="1"/>
    <col min="72" max="79" style="1065" width="21.7109375" hidden="1" customWidth="1"/>
    <col min="80" max="81" style="1065" width="29.140625" hidden="1" customWidth="1"/>
    <col min="82" max="89" style="1065" width="21.7109375" hidden="1" customWidth="1"/>
    <col min="90" max="102" style="1065" width="0.7109375" hidden="1" customWidth="1"/>
    <col min="103" max="114" style="1065" width="21.7109375" hidden="1" customWidth="1"/>
    <col min="115" max="178" style="1065" width="0.7109375" hidden="1" customWidth="1"/>
    <col min="179" max="179" style="1065" width="0.140625" customWidth="1"/>
    <col min="180" max="184" style="1065" width="8.00390625" customWidth="1"/>
    <col min="185" max="185" style="1065" width="9.140625" hidden="1"/>
  </cols>
  <sheetData>
    <row s="927" customFormat="1" customHeight="1" ht="12" hidden="1">
      <c r="B1" s="925"/>
      <c r="C1" s="926"/>
      <c r="D1" s="926"/>
      <c r="GC1" s="924" t="s">
        <v>14</v>
      </c>
    </row>
    <row s="927" customFormat="1" customHeight="1" ht="12" hidden="1">
      <c r="B2" s="925"/>
      <c r="C2" s="926"/>
      <c r="D2" s="926"/>
      <c r="E2" s="926"/>
      <c r="F2" s="926"/>
      <c r="G2" s="926"/>
      <c r="H2" s="926"/>
      <c r="I2" s="926"/>
      <c r="J2" s="926"/>
      <c r="K2" s="926"/>
      <c r="L2" s="926"/>
      <c r="M2" s="926"/>
      <c r="N2" s="926"/>
      <c r="O2" s="926"/>
      <c r="P2" s="926"/>
      <c r="Q2" s="926"/>
      <c r="R2" s="926"/>
      <c r="S2" s="926"/>
      <c r="T2" s="926"/>
      <c r="U2" s="926"/>
      <c r="V2" s="926"/>
      <c r="W2" s="926"/>
      <c r="X2" s="926"/>
      <c r="Y2" s="926"/>
      <c r="Z2" s="926"/>
      <c r="AA2" s="926"/>
      <c r="AB2" s="927"/>
      <c r="AC2" s="926"/>
      <c r="AD2" s="926"/>
      <c r="AE2" s="926"/>
      <c r="AF2" s="926"/>
      <c r="AG2" s="926"/>
      <c r="AH2" s="926"/>
      <c r="AI2" s="926"/>
      <c r="AJ2" s="926"/>
      <c r="AK2" s="926"/>
      <c r="AL2" s="926"/>
      <c r="AM2" s="926"/>
      <c r="AN2" s="926"/>
      <c r="AO2" s="926"/>
      <c r="AP2" s="926"/>
      <c r="AQ2" s="926"/>
      <c r="AR2" s="926"/>
      <c r="AS2" s="926"/>
      <c r="AT2" s="926"/>
      <c r="AU2" s="926"/>
      <c r="AV2" s="926"/>
      <c r="AW2" s="926"/>
      <c r="AX2" s="926"/>
      <c r="AY2" s="926"/>
      <c r="AZ2" s="926"/>
      <c r="BA2" s="926"/>
      <c r="BB2" s="926"/>
      <c r="BC2" s="926"/>
      <c r="BD2" s="926"/>
      <c r="BE2" s="926"/>
      <c r="BF2" s="926"/>
      <c r="BG2" s="926"/>
      <c r="BH2" s="926"/>
      <c r="BI2" s="926"/>
      <c r="BJ2" s="926"/>
      <c r="BK2" s="926"/>
      <c r="BL2" s="926"/>
      <c r="BM2" s="926"/>
      <c r="BN2" s="926"/>
      <c r="BO2" s="926"/>
      <c r="BP2" s="926"/>
      <c r="BQ2" s="926"/>
      <c r="BR2" s="926"/>
      <c r="BS2" s="926"/>
      <c r="BT2" s="926"/>
      <c r="BU2" s="926"/>
      <c r="BV2" s="926"/>
      <c r="BW2" s="926"/>
      <c r="BX2" s="926"/>
      <c r="BY2" s="926"/>
      <c r="BZ2" s="926"/>
      <c r="CA2" s="926"/>
      <c r="CB2" s="926"/>
      <c r="CC2" s="926"/>
      <c r="CD2" s="926"/>
      <c r="CE2" s="926"/>
      <c r="CF2" s="926"/>
      <c r="CG2" s="926"/>
      <c r="CH2" s="926"/>
      <c r="CI2" s="926"/>
      <c r="CJ2" s="926"/>
      <c r="CK2" s="926"/>
      <c r="CL2" s="926"/>
      <c r="CM2" s="926"/>
      <c r="CN2" s="926"/>
      <c r="CO2" s="926"/>
      <c r="CP2" s="926"/>
      <c r="CQ2" s="926"/>
      <c r="CR2" s="926"/>
      <c r="CS2" s="926"/>
      <c r="CT2" s="926"/>
      <c r="CU2" s="926"/>
      <c r="CV2" s="926"/>
      <c r="CW2" s="926"/>
      <c r="CX2" s="926"/>
      <c r="CY2" s="926"/>
      <c r="CZ2" s="926"/>
      <c r="DA2" s="926"/>
      <c r="DB2" s="926"/>
      <c r="DC2" s="926"/>
      <c r="DD2" s="926"/>
      <c r="DE2" s="926"/>
      <c r="DF2" s="926"/>
      <c r="DG2" s="926"/>
      <c r="DH2" s="926"/>
      <c r="DI2" s="926"/>
      <c r="DJ2" s="926"/>
      <c r="DK2" s="926"/>
      <c r="DL2" s="926"/>
      <c r="DM2" s="926"/>
      <c r="DN2" s="926"/>
      <c r="DO2" s="926"/>
      <c r="DP2" s="926"/>
      <c r="DQ2" s="926"/>
      <c r="DR2" s="926"/>
      <c r="DS2" s="926"/>
      <c r="DT2" s="926"/>
      <c r="DU2" s="926"/>
      <c r="DV2" s="926"/>
      <c r="DW2" s="926"/>
      <c r="DX2" s="926"/>
      <c r="DY2" s="926"/>
      <c r="DZ2" s="926"/>
      <c r="EA2" s="926"/>
      <c r="EB2" s="926"/>
      <c r="EC2" s="926"/>
      <c r="ED2" s="926"/>
      <c r="EE2" s="926"/>
      <c r="EF2" s="926"/>
      <c r="EG2" s="926"/>
      <c r="EH2" s="926"/>
      <c r="EI2" s="926"/>
      <c r="EJ2" s="926"/>
      <c r="EK2" s="926"/>
      <c r="EL2" s="926"/>
      <c r="EM2" s="926"/>
      <c r="EN2" s="926"/>
      <c r="EO2" s="926"/>
      <c r="EP2" s="926"/>
      <c r="EQ2" s="926"/>
      <c r="ER2" s="926"/>
      <c r="ES2" s="926"/>
      <c r="ET2" s="926"/>
      <c r="EU2" s="926"/>
      <c r="EV2" s="926"/>
      <c r="EW2" s="926"/>
      <c r="EX2" s="926"/>
      <c r="EY2" s="926"/>
      <c r="EZ2" s="926"/>
      <c r="FA2" s="926"/>
      <c r="FB2" s="926"/>
      <c r="FC2" s="926"/>
      <c r="FD2" s="926"/>
      <c r="FE2" s="926"/>
      <c r="FF2" s="926"/>
      <c r="FG2" s="926"/>
      <c r="FH2" s="926"/>
      <c r="FI2" s="926"/>
      <c r="FJ2" s="926"/>
      <c r="FK2" s="926"/>
      <c r="FL2" s="926"/>
      <c r="FM2" s="926"/>
      <c r="FN2" s="926"/>
      <c r="FO2" s="926"/>
      <c r="FP2" s="926"/>
      <c r="FQ2" s="926"/>
      <c r="FR2" s="926"/>
      <c r="FS2" s="926"/>
      <c r="FT2" s="926"/>
      <c r="FU2" s="926"/>
      <c r="FV2" s="926"/>
      <c r="FW2" s="926"/>
      <c r="GC2" s="924">
        <v>0</v>
      </c>
    </row>
    <row s="927" customFormat="1" customHeight="1" ht="12" hidden="1">
      <c r="B3" s="925"/>
      <c r="C3" s="926"/>
      <c r="D3" s="926"/>
      <c r="E3" s="926"/>
      <c r="F3" s="926"/>
      <c r="G3" s="926"/>
      <c r="H3" s="926"/>
      <c r="I3" s="926"/>
      <c r="J3" s="926"/>
      <c r="K3" s="926"/>
      <c r="L3" s="926"/>
      <c r="M3" s="926"/>
      <c r="N3" s="926"/>
      <c r="O3" s="926"/>
      <c r="P3" s="926"/>
      <c r="Q3" s="926"/>
      <c r="R3" s="926"/>
      <c r="S3" s="926"/>
      <c r="T3" s="926"/>
      <c r="U3" s="926"/>
      <c r="V3" s="926"/>
      <c r="W3" s="926"/>
      <c r="X3" s="926"/>
      <c r="Y3" s="926"/>
      <c r="Z3" s="926"/>
      <c r="AA3" s="926"/>
      <c r="AB3" s="927"/>
      <c r="AC3" s="926"/>
      <c r="AD3" s="926"/>
      <c r="AE3" s="926"/>
      <c r="AF3" s="926"/>
      <c r="AG3" s="926"/>
      <c r="AH3" s="926"/>
      <c r="AI3" s="926"/>
      <c r="AJ3" s="926"/>
      <c r="AK3" s="926"/>
      <c r="AL3" s="926"/>
      <c r="AM3" s="926"/>
      <c r="AN3" s="926"/>
      <c r="AO3" s="926"/>
      <c r="AP3" s="926"/>
      <c r="AQ3" s="926"/>
      <c r="AR3" s="926"/>
      <c r="AS3" s="926"/>
      <c r="AT3" s="926"/>
      <c r="AU3" s="926"/>
      <c r="AV3" s="926"/>
      <c r="AW3" s="926"/>
      <c r="AX3" s="926"/>
      <c r="AY3" s="926"/>
      <c r="AZ3" s="926"/>
      <c r="BA3" s="926"/>
      <c r="BB3" s="926"/>
      <c r="BC3" s="926"/>
      <c r="BD3" s="926"/>
      <c r="BE3" s="926"/>
      <c r="BF3" s="926"/>
      <c r="BG3" s="926"/>
      <c r="BH3" s="926"/>
      <c r="BI3" s="926"/>
      <c r="BJ3" s="926"/>
      <c r="BK3" s="926"/>
      <c r="BL3" s="926"/>
      <c r="BM3" s="926"/>
      <c r="BN3" s="926"/>
      <c r="BO3" s="926"/>
      <c r="BP3" s="926"/>
      <c r="BQ3" s="926"/>
      <c r="BR3" s="926"/>
      <c r="BS3" s="926"/>
      <c r="BT3" s="926"/>
      <c r="BU3" s="926"/>
      <c r="BV3" s="926"/>
      <c r="BW3" s="926"/>
      <c r="BX3" s="926"/>
      <c r="BY3" s="926"/>
      <c r="BZ3" s="926"/>
      <c r="CA3" s="926"/>
      <c r="CB3" s="926"/>
      <c r="CC3" s="926"/>
      <c r="CD3" s="926"/>
      <c r="CE3" s="926"/>
      <c r="CF3" s="926"/>
      <c r="CG3" s="926"/>
      <c r="CH3" s="926"/>
      <c r="CI3" s="926"/>
      <c r="CJ3" s="926"/>
      <c r="CK3" s="926"/>
      <c r="CL3" s="926"/>
      <c r="CM3" s="926"/>
      <c r="CN3" s="926"/>
      <c r="CO3" s="926"/>
      <c r="CP3" s="926"/>
      <c r="CQ3" s="926"/>
      <c r="CR3" s="926"/>
      <c r="CS3" s="926"/>
      <c r="CT3" s="926"/>
      <c r="CU3" s="926"/>
      <c r="CV3" s="926"/>
      <c r="CW3" s="926"/>
      <c r="CX3" s="926"/>
      <c r="CY3" s="926"/>
      <c r="CZ3" s="926"/>
      <c r="DA3" s="926"/>
      <c r="DB3" s="926"/>
      <c r="DC3" s="926"/>
      <c r="DD3" s="926"/>
      <c r="DE3" s="926"/>
      <c r="DF3" s="926"/>
      <c r="DG3" s="926"/>
      <c r="DH3" s="926"/>
      <c r="DI3" s="926"/>
      <c r="DJ3" s="926"/>
      <c r="DK3" s="926"/>
      <c r="DL3" s="926"/>
      <c r="DM3" s="926"/>
      <c r="DN3" s="926"/>
      <c r="DO3" s="926"/>
      <c r="DP3" s="926"/>
      <c r="DQ3" s="926"/>
      <c r="DR3" s="926"/>
      <c r="DS3" s="926"/>
      <c r="DT3" s="926"/>
      <c r="DU3" s="926"/>
      <c r="DV3" s="926"/>
      <c r="DW3" s="926"/>
      <c r="DX3" s="926"/>
      <c r="DY3" s="926"/>
      <c r="DZ3" s="926"/>
      <c r="EA3" s="926"/>
      <c r="EB3" s="926"/>
      <c r="EC3" s="926"/>
      <c r="ED3" s="926"/>
      <c r="EE3" s="926"/>
      <c r="EF3" s="926"/>
      <c r="EG3" s="926"/>
      <c r="EH3" s="926"/>
      <c r="EI3" s="926"/>
      <c r="EJ3" s="926"/>
      <c r="EK3" s="926"/>
      <c r="EL3" s="926"/>
      <c r="EM3" s="926"/>
      <c r="EN3" s="926"/>
      <c r="EO3" s="926"/>
      <c r="EP3" s="926"/>
      <c r="EQ3" s="926"/>
      <c r="ER3" s="926"/>
      <c r="ES3" s="926"/>
      <c r="ET3" s="926"/>
      <c r="EU3" s="926"/>
      <c r="EV3" s="926"/>
      <c r="EW3" s="926"/>
      <c r="EX3" s="926"/>
      <c r="EY3" s="926"/>
      <c r="EZ3" s="926"/>
      <c r="FA3" s="926"/>
      <c r="FB3" s="926"/>
      <c r="FC3" s="926"/>
      <c r="FD3" s="926"/>
      <c r="FE3" s="926"/>
      <c r="FF3" s="926"/>
      <c r="FG3" s="926"/>
      <c r="FH3" s="926"/>
      <c r="FI3" s="926"/>
      <c r="FJ3" s="926"/>
      <c r="FK3" s="926"/>
      <c r="FL3" s="926"/>
      <c r="FM3" s="926"/>
      <c r="FN3" s="926"/>
      <c r="FO3" s="926"/>
      <c r="FP3" s="926"/>
      <c r="FQ3" s="926"/>
      <c r="FR3" s="926"/>
      <c r="FS3" s="926"/>
      <c r="FT3" s="926"/>
      <c r="FU3" s="926"/>
      <c r="FV3" s="926"/>
      <c r="FW3" s="926"/>
      <c r="GC3" s="924">
        <v>0</v>
      </c>
    </row>
    <row customHeight="1" ht="10.5">
      <c r="B4" s="929"/>
      <c r="C4" s="930"/>
      <c r="D4" s="930"/>
      <c r="E4" s="930"/>
      <c r="F4" s="930"/>
      <c r="G4" s="930"/>
      <c r="H4" s="931"/>
      <c r="I4" s="931"/>
      <c r="J4" s="931"/>
      <c r="K4" s="931"/>
      <c r="L4" s="931"/>
      <c r="M4" s="932"/>
      <c r="N4" s="932"/>
      <c r="O4" s="932"/>
      <c r="P4" s="932"/>
      <c r="Q4" s="932"/>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932"/>
      <c r="BG4" s="932"/>
      <c r="BH4" s="932"/>
      <c r="BI4" s="932"/>
      <c r="BJ4" s="932"/>
      <c r="BK4" s="932"/>
      <c r="BL4" s="932"/>
      <c r="BM4" s="932"/>
      <c r="BN4" s="932"/>
      <c r="BO4" s="932"/>
      <c r="BP4" s="932"/>
      <c r="BQ4" s="932"/>
      <c r="BR4" s="932"/>
      <c r="BS4" s="932"/>
      <c r="BT4" s="932"/>
      <c r="BU4" s="932"/>
      <c r="BV4" s="932"/>
      <c r="BW4" s="932"/>
      <c r="BX4" s="932"/>
      <c r="BY4" s="932"/>
      <c r="BZ4" s="932"/>
      <c r="CA4" s="932"/>
      <c r="CB4" s="932"/>
      <c r="CC4" s="932"/>
      <c r="CD4" s="932"/>
      <c r="CE4" s="932"/>
      <c r="CF4" s="932"/>
      <c r="CG4" s="932"/>
      <c r="CH4" s="932"/>
      <c r="CI4" s="932"/>
      <c r="CJ4" s="932"/>
      <c r="CK4" s="932"/>
      <c r="CL4" s="932"/>
      <c r="CM4" s="932"/>
      <c r="CN4" s="932"/>
      <c r="CO4" s="932"/>
      <c r="CP4" s="932"/>
      <c r="CQ4" s="932"/>
      <c r="CR4" s="932"/>
      <c r="CS4" s="932"/>
      <c r="CT4" s="932"/>
      <c r="CU4" s="932"/>
      <c r="CV4" s="932"/>
      <c r="CW4" s="932"/>
      <c r="CX4" s="932"/>
      <c r="CY4" s="932"/>
      <c r="CZ4" s="932"/>
      <c r="DA4" s="932"/>
      <c r="DB4" s="932"/>
      <c r="DC4" s="932"/>
      <c r="DD4" s="932"/>
      <c r="DE4" s="932"/>
      <c r="DF4" s="932"/>
      <c r="DG4" s="932"/>
      <c r="DH4" s="932"/>
      <c r="DI4" s="932"/>
      <c r="DJ4" s="932"/>
      <c r="DK4" s="932"/>
      <c r="DL4" s="932"/>
      <c r="DM4" s="932"/>
      <c r="DN4" s="932"/>
      <c r="DO4" s="932"/>
      <c r="DP4" s="932"/>
      <c r="DQ4" s="932"/>
      <c r="DR4" s="932"/>
      <c r="DS4" s="932"/>
      <c r="DT4" s="932"/>
      <c r="DU4" s="932"/>
      <c r="DV4" s="932"/>
      <c r="DW4" s="932"/>
      <c r="DX4" s="932"/>
      <c r="DY4" s="932"/>
      <c r="DZ4" s="932"/>
      <c r="EA4" s="932"/>
      <c r="EB4" s="932"/>
      <c r="EC4" s="932"/>
      <c r="ED4" s="932"/>
      <c r="EE4" s="932"/>
      <c r="EF4" s="932"/>
      <c r="EG4" s="932"/>
      <c r="EH4" s="932"/>
      <c r="EI4" s="932"/>
      <c r="EJ4" s="932"/>
      <c r="EK4" s="932"/>
      <c r="EL4" s="932"/>
      <c r="EM4" s="932"/>
      <c r="EN4" s="932"/>
      <c r="EO4" s="932"/>
      <c r="EP4" s="932"/>
      <c r="EQ4" s="932"/>
      <c r="ER4" s="932"/>
      <c r="ES4" s="932"/>
      <c r="ET4" s="932"/>
      <c r="EU4" s="932"/>
      <c r="EV4" s="932"/>
      <c r="EW4" s="932"/>
      <c r="EX4" s="932"/>
      <c r="EY4" s="932"/>
      <c r="EZ4" s="932"/>
      <c r="FA4" s="932"/>
      <c r="FB4" s="932"/>
      <c r="FC4" s="932"/>
      <c r="FD4" s="932"/>
      <c r="FE4" s="932"/>
      <c r="FF4" s="932"/>
      <c r="FG4" s="932"/>
      <c r="FH4" s="932"/>
      <c r="FI4" s="932"/>
      <c r="FJ4" s="932"/>
      <c r="FK4" s="932"/>
      <c r="FL4" s="932"/>
      <c r="FM4" s="932"/>
      <c r="FN4" s="932"/>
      <c r="FO4" s="932"/>
      <c r="FP4" s="932"/>
      <c r="FQ4" s="932"/>
      <c r="FR4" s="932"/>
      <c r="FS4" s="932"/>
      <c r="FT4" s="932"/>
      <c r="FU4" s="932"/>
      <c r="FV4" s="932"/>
      <c r="FW4" s="932"/>
      <c r="GC4" s="928">
        <v>10</v>
      </c>
    </row>
    <row s="1875" customFormat="1" customHeight="1" ht="27.299999999999997">
      <c r="B5" s="1874"/>
      <c r="E5" s="1876"/>
      <c r="F5" s="2434"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1"/>
      <c r="H5" s="2171"/>
      <c r="I5" s="2171"/>
      <c r="J5" s="2171"/>
      <c r="K5" s="2171"/>
      <c r="L5" s="2171"/>
      <c r="M5" s="2171"/>
      <c r="N5" s="2171"/>
      <c r="O5" s="2171"/>
      <c r="P5" s="2171"/>
      <c r="Q5" s="2171"/>
      <c r="R5" s="2171"/>
      <c r="S5" s="2171"/>
      <c r="T5" s="2171"/>
      <c r="U5" s="2171"/>
      <c r="V5" s="2171"/>
      <c r="W5" s="2171"/>
      <c r="X5" s="2171"/>
      <c r="Y5" s="2171"/>
      <c r="Z5" s="2171"/>
      <c r="AA5" s="2171"/>
      <c r="AB5" s="2171"/>
      <c r="AC5" s="2171"/>
      <c r="AD5" s="2171"/>
      <c r="AE5" s="2171"/>
      <c r="AF5" s="2171"/>
      <c r="AG5" s="2171"/>
      <c r="AH5" s="2171"/>
      <c r="AI5" s="2171"/>
      <c r="AJ5" s="2171"/>
      <c r="AK5" s="2171"/>
      <c r="AL5" s="2171"/>
      <c r="AM5" s="2171"/>
      <c r="AN5" s="2171"/>
      <c r="AO5" s="2171"/>
      <c r="AP5" s="2171"/>
      <c r="AQ5" s="2171"/>
      <c r="AR5" s="2171"/>
      <c r="AS5" s="2171"/>
      <c r="AT5" s="2171"/>
      <c r="AU5" s="2171"/>
      <c r="AV5" s="2171"/>
      <c r="AW5" s="2171"/>
      <c r="AX5" s="2171"/>
      <c r="AY5" s="2171"/>
      <c r="AZ5" s="2171"/>
      <c r="BA5" s="2171"/>
      <c r="BB5" s="2171"/>
      <c r="BC5" s="2171"/>
      <c r="BD5" s="2171"/>
      <c r="BE5" s="2171"/>
      <c r="BF5" s="2171"/>
      <c r="BG5" s="2171"/>
      <c r="BH5" s="2171"/>
      <c r="BI5" s="2171"/>
      <c r="BJ5" s="2171"/>
      <c r="BK5" s="2171"/>
      <c r="BL5" s="2171"/>
      <c r="BM5" s="2171"/>
      <c r="BN5" s="2171"/>
      <c r="BO5" s="2171"/>
      <c r="BP5" s="2171"/>
      <c r="BQ5" s="2171"/>
      <c r="BR5" s="2171"/>
      <c r="BS5" s="2171"/>
      <c r="GC5" s="1875">
        <v>26</v>
      </c>
    </row>
    <row s="2140" customFormat="1" customHeight="1" ht="18.75">
      <c r="B6" s="945"/>
      <c r="E6" s="947"/>
      <c r="F6" s="2216" t="str">
        <f>IF(org=0,"Не определено",org)</f>
        <v>ПАО "ТГК-2"</v>
      </c>
      <c r="G6" s="2217"/>
      <c r="H6" s="2217"/>
      <c r="I6" s="2217"/>
      <c r="J6" s="2217"/>
      <c r="K6" s="2217"/>
      <c r="L6" s="2217"/>
      <c r="M6" s="2217"/>
      <c r="N6" s="2217"/>
      <c r="O6" s="2217"/>
      <c r="P6" s="2217"/>
      <c r="Q6" s="2217"/>
      <c r="R6" s="2217"/>
      <c r="S6" s="2217"/>
      <c r="T6" s="2217"/>
      <c r="U6" s="2217"/>
      <c r="V6" s="2217"/>
      <c r="W6" s="2217"/>
      <c r="X6" s="2217"/>
      <c r="Y6" s="2217"/>
      <c r="Z6" s="2217"/>
      <c r="AA6" s="2217"/>
      <c r="AB6" s="2217"/>
      <c r="AC6" s="2217"/>
      <c r="AD6" s="2217"/>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7"/>
      <c r="BC6" s="2217"/>
      <c r="BD6" s="2217"/>
      <c r="BE6" s="2217"/>
      <c r="BF6" s="2217"/>
      <c r="BG6" s="2217"/>
      <c r="BH6" s="2217"/>
      <c r="BI6" s="2217"/>
      <c r="BJ6" s="2217"/>
      <c r="BK6" s="2217"/>
      <c r="BL6" s="2217"/>
      <c r="BM6" s="2217"/>
      <c r="BN6" s="2217"/>
      <c r="BO6" s="2217"/>
      <c r="BP6" s="2217"/>
      <c r="BQ6" s="2217"/>
      <c r="BR6" s="2217"/>
      <c r="BS6" s="2217"/>
      <c r="GC6" s="946">
        <v>18</v>
      </c>
    </row>
    <row s="935" customFormat="1" customHeight="1" ht="10.5">
      <c r="B7" s="934"/>
      <c r="E7" s="935"/>
      <c r="F7" s="935"/>
      <c r="G7" s="937"/>
      <c r="H7" s="931"/>
      <c r="I7" s="931"/>
      <c r="J7" s="931"/>
      <c r="K7" s="931"/>
      <c r="L7" s="931"/>
      <c r="M7" s="935"/>
      <c r="N7" s="935"/>
      <c r="O7" s="935"/>
      <c r="P7" s="935"/>
      <c r="Q7" s="935"/>
      <c r="R7" s="935"/>
      <c r="S7" s="935"/>
      <c r="T7" s="935"/>
      <c r="U7" s="935"/>
      <c r="V7" s="935"/>
      <c r="W7" s="935"/>
      <c r="X7" s="935"/>
      <c r="Y7" s="935"/>
      <c r="Z7" s="935"/>
      <c r="AA7" s="935"/>
      <c r="AB7" s="935"/>
      <c r="AC7" s="935"/>
      <c r="AD7" s="935"/>
      <c r="AE7" s="935"/>
      <c r="AF7" s="935"/>
      <c r="AG7" s="935"/>
      <c r="AH7" s="935"/>
      <c r="AI7" s="935"/>
      <c r="AJ7" s="935"/>
      <c r="AK7" s="935"/>
      <c r="AL7" s="935"/>
      <c r="AM7" s="935"/>
      <c r="AN7" s="935"/>
      <c r="AO7" s="935"/>
      <c r="AP7" s="935"/>
      <c r="AQ7" s="935"/>
      <c r="AR7" s="935"/>
      <c r="AS7" s="935"/>
      <c r="AT7" s="935"/>
      <c r="AU7" s="935"/>
      <c r="AV7" s="935"/>
      <c r="AW7" s="935"/>
      <c r="AX7" s="935"/>
      <c r="AY7" s="935"/>
      <c r="AZ7" s="935"/>
      <c r="BA7" s="935"/>
      <c r="BB7" s="935"/>
      <c r="BC7" s="935"/>
      <c r="BD7" s="935"/>
      <c r="BE7" s="935"/>
      <c r="BF7" s="935"/>
      <c r="BG7" s="935"/>
      <c r="BH7" s="935"/>
      <c r="BI7" s="935"/>
      <c r="BJ7" s="935"/>
      <c r="BK7" s="935"/>
      <c r="BL7" s="935"/>
      <c r="BM7" s="935"/>
      <c r="BN7" s="935"/>
      <c r="BO7" s="935"/>
      <c r="BP7" s="935"/>
      <c r="BQ7" s="935"/>
      <c r="BR7" s="935"/>
      <c r="BS7" s="935"/>
      <c r="BT7" s="935"/>
      <c r="BU7" s="935"/>
      <c r="BV7" s="935"/>
      <c r="BW7" s="935"/>
      <c r="BX7" s="935"/>
      <c r="BY7" s="935"/>
      <c r="BZ7" s="935"/>
      <c r="CA7" s="935"/>
      <c r="CB7" s="935"/>
      <c r="CC7" s="935"/>
      <c r="CD7" s="935"/>
      <c r="CE7" s="935"/>
      <c r="CF7" s="935"/>
      <c r="CG7" s="935"/>
      <c r="CH7" s="935"/>
      <c r="CI7" s="935"/>
      <c r="CJ7" s="935"/>
      <c r="CK7" s="935"/>
      <c r="CL7" s="935"/>
      <c r="CM7" s="935"/>
      <c r="CN7" s="935"/>
      <c r="CO7" s="935"/>
      <c r="CP7" s="935"/>
      <c r="CQ7" s="935"/>
      <c r="CR7" s="935"/>
      <c r="CS7" s="935"/>
      <c r="CT7" s="935"/>
      <c r="CU7" s="935"/>
      <c r="CV7" s="935"/>
      <c r="CW7" s="935"/>
      <c r="CX7" s="935"/>
      <c r="CY7" s="935"/>
      <c r="CZ7" s="935"/>
      <c r="DA7" s="935"/>
      <c r="DB7" s="935"/>
      <c r="DC7" s="935"/>
      <c r="DD7" s="935"/>
      <c r="DE7" s="935"/>
      <c r="DF7" s="935"/>
      <c r="DG7" s="935"/>
      <c r="DH7" s="935"/>
      <c r="DI7" s="935"/>
      <c r="DJ7" s="935"/>
      <c r="DK7" s="935"/>
      <c r="DL7" s="935"/>
      <c r="DM7" s="935"/>
      <c r="DN7" s="935"/>
      <c r="DO7" s="935"/>
      <c r="DP7" s="935"/>
      <c r="DQ7" s="935"/>
      <c r="DR7" s="935"/>
      <c r="DS7" s="935"/>
      <c r="DT7" s="935"/>
      <c r="DU7" s="935"/>
      <c r="DV7" s="935"/>
      <c r="DW7" s="935"/>
      <c r="DX7" s="935"/>
      <c r="DY7" s="935"/>
      <c r="DZ7" s="935"/>
      <c r="EA7" s="935"/>
      <c r="EB7" s="935"/>
      <c r="EC7" s="935"/>
      <c r="ED7" s="935"/>
      <c r="EE7" s="935"/>
      <c r="EF7" s="935"/>
      <c r="EG7" s="935"/>
      <c r="EH7" s="935"/>
      <c r="EI7" s="935"/>
      <c r="EJ7" s="935"/>
      <c r="EK7" s="935"/>
      <c r="EL7" s="935"/>
      <c r="EM7" s="935"/>
      <c r="EN7" s="935"/>
      <c r="EO7" s="935"/>
      <c r="EP7" s="935"/>
      <c r="EQ7" s="935"/>
      <c r="ER7" s="935"/>
      <c r="ES7" s="935"/>
      <c r="ET7" s="935"/>
      <c r="EU7" s="935"/>
      <c r="EV7" s="935"/>
      <c r="EW7" s="935"/>
      <c r="EX7" s="935"/>
      <c r="EY7" s="935"/>
      <c r="EZ7" s="935"/>
      <c r="FA7" s="935"/>
      <c r="FB7" s="935"/>
      <c r="FC7" s="935"/>
      <c r="FD7" s="935"/>
      <c r="FE7" s="935"/>
      <c r="FF7" s="935"/>
      <c r="FG7" s="935"/>
      <c r="FH7" s="935"/>
      <c r="FI7" s="935"/>
      <c r="FJ7" s="935"/>
      <c r="FK7" s="935"/>
      <c r="FL7" s="935"/>
      <c r="FM7" s="935"/>
      <c r="FN7" s="935"/>
      <c r="FO7" s="935"/>
      <c r="FP7" s="935"/>
      <c r="FQ7" s="935"/>
      <c r="FR7" s="935"/>
      <c r="FS7" s="935"/>
      <c r="FT7" s="935"/>
      <c r="FU7" s="935"/>
      <c r="FV7" s="935"/>
      <c r="FW7" s="935"/>
      <c r="GC7" s="933">
        <v>10</v>
      </c>
    </row>
    <row s="935" customFormat="1" customHeight="1" ht="11.25" hidden="1">
      <c r="B8" s="936"/>
      <c r="F8" s="1058"/>
      <c r="G8" s="765"/>
      <c r="H8" s="362"/>
      <c r="I8" s="362"/>
      <c r="J8" s="362"/>
      <c r="K8" s="362"/>
      <c r="L8" s="362"/>
      <c r="M8" s="1058"/>
      <c r="N8" s="1058"/>
      <c r="O8" s="2452" t="s">
        <v>1073</v>
      </c>
      <c r="P8" s="2453"/>
      <c r="Q8" s="2453"/>
      <c r="R8" s="2453"/>
      <c r="S8" s="2453"/>
      <c r="T8" s="2453"/>
      <c r="U8" s="2453"/>
      <c r="V8" s="2453"/>
      <c r="W8" s="2453"/>
      <c r="X8" s="2453"/>
      <c r="Y8" s="2453"/>
      <c r="Z8" s="2453"/>
      <c r="AA8" s="2453"/>
      <c r="AB8" s="2453"/>
      <c r="AC8" s="2453"/>
      <c r="AD8" s="2453"/>
      <c r="AE8" s="2453"/>
      <c r="AF8" s="2453"/>
      <c r="AG8" s="2453"/>
      <c r="AH8" s="2453"/>
      <c r="AI8" s="2453"/>
      <c r="AJ8" s="2453"/>
      <c r="AK8" s="2453"/>
      <c r="AL8" s="2453"/>
      <c r="AM8" s="2453"/>
      <c r="AN8" s="2453"/>
      <c r="AO8" s="2453"/>
      <c r="AP8" s="2453"/>
      <c r="AQ8" s="2453"/>
      <c r="AR8" s="2453"/>
      <c r="AS8" s="2453"/>
      <c r="AT8" s="2453"/>
      <c r="AU8" s="2453"/>
      <c r="AV8" s="2453"/>
      <c r="AW8" s="2453"/>
      <c r="AX8" s="2453"/>
      <c r="AY8" s="2453"/>
      <c r="AZ8" s="2453"/>
      <c r="BA8" s="2453"/>
      <c r="BB8" s="2453"/>
      <c r="BC8" s="2453"/>
      <c r="BD8" s="2453"/>
      <c r="BE8" s="2453"/>
      <c r="BF8" s="2453"/>
      <c r="BG8" s="2453"/>
      <c r="BH8" s="2453"/>
      <c r="BI8" s="2453"/>
      <c r="BJ8" s="2453"/>
      <c r="BK8" s="2453"/>
      <c r="BL8" s="2453"/>
      <c r="BM8" s="2453"/>
      <c r="BN8" s="2453"/>
      <c r="BO8" s="2453"/>
      <c r="BP8" s="2453"/>
      <c r="BQ8" s="2453"/>
      <c r="BR8" s="2453"/>
      <c r="BS8" s="2454"/>
      <c r="BT8" s="2441"/>
      <c r="BU8" s="2442"/>
      <c r="BV8" s="2442"/>
      <c r="BW8" s="2442"/>
      <c r="BX8" s="2442"/>
      <c r="BY8" s="2442"/>
      <c r="BZ8" s="2442"/>
      <c r="CA8" s="2442"/>
      <c r="CB8" s="2442"/>
      <c r="CC8" s="2442"/>
      <c r="CD8" s="2442"/>
      <c r="CE8" s="2442"/>
      <c r="CF8" s="2442"/>
      <c r="CG8" s="2442"/>
      <c r="CH8" s="2442"/>
      <c r="CI8" s="2442"/>
      <c r="CJ8" s="2442"/>
      <c r="CK8" s="2442"/>
      <c r="CL8" s="2442"/>
      <c r="CM8" s="2442"/>
      <c r="CN8" s="2442"/>
      <c r="CO8" s="2442"/>
      <c r="CP8" s="2442"/>
      <c r="CQ8" s="2442"/>
      <c r="CR8" s="2442"/>
      <c r="CS8" s="2442"/>
      <c r="CT8" s="2442"/>
      <c r="CU8" s="2442"/>
      <c r="CV8" s="2442"/>
      <c r="CW8" s="2442"/>
      <c r="CX8" s="2443"/>
      <c r="CY8" s="2444"/>
      <c r="CZ8" s="2445"/>
      <c r="DA8" s="2445"/>
      <c r="DB8" s="2445"/>
      <c r="DC8" s="2445"/>
      <c r="DD8" s="2445"/>
      <c r="DE8" s="2445"/>
      <c r="DF8" s="2445"/>
      <c r="DG8" s="2445"/>
      <c r="DH8" s="2445"/>
      <c r="DI8" s="2445"/>
      <c r="DJ8" s="2445"/>
      <c r="DK8" s="2445"/>
      <c r="DL8" s="2445"/>
      <c r="DM8" s="2445"/>
      <c r="DN8" s="2445"/>
      <c r="DO8" s="2445"/>
      <c r="DP8" s="2445"/>
      <c r="DQ8" s="2445"/>
      <c r="DR8" s="2445"/>
      <c r="DS8" s="2445"/>
      <c r="DT8" s="2445"/>
      <c r="DU8" s="2445"/>
      <c r="DV8" s="2445"/>
      <c r="DW8" s="2445"/>
      <c r="DX8" s="2446"/>
      <c r="DY8" s="2447" t="s">
        <v>1074</v>
      </c>
      <c r="DZ8" s="2448"/>
      <c r="EA8" s="2448"/>
      <c r="EB8" s="2448"/>
      <c r="EC8" s="2448"/>
      <c r="ED8" s="2448"/>
      <c r="EE8" s="2448"/>
      <c r="EF8" s="2448"/>
      <c r="EG8" s="2448"/>
      <c r="EH8" s="2448"/>
      <c r="EI8" s="2448"/>
      <c r="EJ8" s="2448"/>
      <c r="EK8" s="2448"/>
      <c r="EL8" s="2448"/>
      <c r="EM8" s="2448"/>
      <c r="EN8" s="2448"/>
      <c r="EO8" s="2448"/>
      <c r="EP8" s="2448"/>
      <c r="EQ8" s="2448"/>
      <c r="ER8" s="2448"/>
      <c r="ES8" s="2448"/>
      <c r="ET8" s="2448"/>
      <c r="EU8" s="2448"/>
      <c r="EV8" s="2448"/>
      <c r="EW8" s="2448"/>
      <c r="EX8" s="2448"/>
      <c r="EY8" s="2448"/>
      <c r="EZ8" s="2448"/>
      <c r="FA8" s="2448"/>
      <c r="FB8" s="2448"/>
      <c r="FC8" s="2448"/>
      <c r="FD8" s="2448"/>
      <c r="FE8" s="2448"/>
      <c r="FF8" s="2448"/>
      <c r="FG8" s="2448"/>
      <c r="FH8" s="2448"/>
      <c r="FI8" s="2448"/>
      <c r="FJ8" s="2448"/>
      <c r="FK8" s="2448"/>
      <c r="FL8" s="2448"/>
      <c r="FM8" s="2448"/>
      <c r="FN8" s="2448"/>
      <c r="FO8" s="2448"/>
      <c r="FP8" s="2448"/>
      <c r="FQ8" s="2448"/>
      <c r="FR8" s="2448"/>
      <c r="FS8" s="2448"/>
      <c r="FT8" s="2448"/>
      <c r="FU8" s="2448"/>
      <c r="FV8" s="2448"/>
      <c r="FW8" s="2449"/>
      <c r="FX8" s="1058"/>
      <c r="GC8" s="935">
        <v>0</v>
      </c>
    </row>
    <row s="935" customFormat="1" customHeight="1" ht="11.25" hidden="1">
      <c r="B9" s="936"/>
      <c r="F9" s="1058"/>
      <c r="G9" s="765"/>
      <c r="H9" s="362"/>
      <c r="I9" s="362"/>
      <c r="J9" s="362"/>
      <c r="K9" s="362"/>
      <c r="L9" s="362"/>
      <c r="M9" s="1058"/>
      <c r="N9" s="1058"/>
      <c r="O9" s="1058"/>
      <c r="P9" s="1058"/>
      <c r="Q9" s="1058"/>
      <c r="R9" s="1058"/>
      <c r="S9" s="1058"/>
      <c r="T9" s="1058"/>
      <c r="U9" s="1058"/>
      <c r="V9" s="1058"/>
      <c r="W9" s="1058"/>
      <c r="X9" s="1058"/>
      <c r="Y9" s="1058"/>
      <c r="Z9" s="1058"/>
      <c r="AA9" s="1058"/>
      <c r="AB9" s="1058"/>
      <c r="AC9" s="1058"/>
      <c r="AD9" s="1058"/>
      <c r="AE9" s="1058"/>
      <c r="AF9" s="1058"/>
      <c r="AG9" s="1058"/>
      <c r="AH9" s="1058"/>
      <c r="AI9" s="1058"/>
      <c r="AJ9" s="1058"/>
      <c r="AK9" s="1058"/>
      <c r="AL9" s="1058"/>
      <c r="AM9" s="1058"/>
      <c r="AN9" s="1058"/>
      <c r="AO9" s="1058"/>
      <c r="AP9" s="1058"/>
      <c r="AQ9" s="1058"/>
      <c r="AR9" s="1058"/>
      <c r="AS9" s="1058"/>
      <c r="AT9" s="1058"/>
      <c r="AU9" s="1058"/>
      <c r="AV9" s="1058"/>
      <c r="AW9" s="1058"/>
      <c r="AX9" s="1058"/>
      <c r="AY9" s="1058"/>
      <c r="AZ9" s="1058"/>
      <c r="BA9" s="1058"/>
      <c r="BB9" s="1058"/>
      <c r="BC9" s="1058"/>
      <c r="BD9" s="1058"/>
      <c r="BE9" s="1058"/>
      <c r="BF9" s="1058"/>
      <c r="BG9" s="1058"/>
      <c r="BH9" s="1058"/>
      <c r="BI9" s="1058"/>
      <c r="BJ9" s="1058"/>
      <c r="BK9" s="1058"/>
      <c r="BL9" s="1058"/>
      <c r="BM9" s="1058"/>
      <c r="BN9" s="1058"/>
      <c r="BO9" s="1058"/>
      <c r="BP9" s="1058"/>
      <c r="BQ9" s="1058"/>
      <c r="BR9" s="1058"/>
      <c r="BS9" s="1058"/>
      <c r="BT9" s="1058"/>
      <c r="BU9" s="1058"/>
      <c r="BV9" s="1058"/>
      <c r="BW9" s="1058"/>
      <c r="BX9" s="1058"/>
      <c r="BY9" s="1058"/>
      <c r="BZ9" s="1058"/>
      <c r="CA9" s="1058"/>
      <c r="CB9" s="1058"/>
      <c r="CC9" s="1058"/>
      <c r="CD9" s="1058"/>
      <c r="CE9" s="1058"/>
      <c r="CF9" s="1058"/>
      <c r="CG9" s="1058"/>
      <c r="CH9" s="1058"/>
      <c r="CI9" s="1058"/>
      <c r="CJ9" s="1058"/>
      <c r="CK9" s="1058"/>
      <c r="CL9" s="1058"/>
      <c r="CM9" s="1058"/>
      <c r="CN9" s="1058"/>
      <c r="CO9" s="1058"/>
      <c r="CP9" s="1058"/>
      <c r="CQ9" s="1058"/>
      <c r="CR9" s="1058"/>
      <c r="CS9" s="1058"/>
      <c r="CT9" s="1058"/>
      <c r="CU9" s="1058"/>
      <c r="CV9" s="1058"/>
      <c r="CW9" s="1058"/>
      <c r="CX9" s="1058"/>
      <c r="CY9" s="1058"/>
      <c r="CZ9" s="1058"/>
      <c r="DA9" s="1058"/>
      <c r="DB9" s="1058"/>
      <c r="DC9" s="1058"/>
      <c r="DD9" s="1058"/>
      <c r="DE9" s="1058"/>
      <c r="DF9" s="1058"/>
      <c r="DG9" s="1058"/>
      <c r="DH9" s="1058"/>
      <c r="DI9" s="1058"/>
      <c r="DJ9" s="1058"/>
      <c r="DK9" s="1058"/>
      <c r="DL9" s="1058"/>
      <c r="DM9" s="1058"/>
      <c r="DN9" s="1058"/>
      <c r="DO9" s="1058"/>
      <c r="DP9" s="1058"/>
      <c r="DQ9" s="1058"/>
      <c r="DR9" s="1058"/>
      <c r="DS9" s="1058"/>
      <c r="DT9" s="1058"/>
      <c r="DU9" s="1058"/>
      <c r="DV9" s="1058"/>
      <c r="DW9" s="1058"/>
      <c r="DX9" s="1058"/>
      <c r="DY9" s="1058"/>
      <c r="DZ9" s="1058"/>
      <c r="EA9" s="1058"/>
      <c r="EB9" s="1058"/>
      <c r="EC9" s="1058"/>
      <c r="ED9" s="1058"/>
      <c r="EE9" s="1058"/>
      <c r="EF9" s="1058"/>
      <c r="EG9" s="1058"/>
      <c r="EH9" s="1058"/>
      <c r="EI9" s="1058"/>
      <c r="EJ9" s="1058"/>
      <c r="EK9" s="1058"/>
      <c r="EL9" s="1058"/>
      <c r="EM9" s="1058"/>
      <c r="EN9" s="1058"/>
      <c r="EO9" s="1058"/>
      <c r="EP9" s="1058"/>
      <c r="EQ9" s="1058"/>
      <c r="ER9" s="1058"/>
      <c r="ES9" s="1058"/>
      <c r="ET9" s="1058"/>
      <c r="EU9" s="1058"/>
      <c r="EV9" s="1058"/>
      <c r="EW9" s="1058"/>
      <c r="EX9" s="1058"/>
      <c r="EY9" s="1058"/>
      <c r="EZ9" s="1058"/>
      <c r="FA9" s="1058"/>
      <c r="FB9" s="1058"/>
      <c r="FC9" s="1058"/>
      <c r="FD9" s="1058"/>
      <c r="FE9" s="1058"/>
      <c r="FF9" s="1058"/>
      <c r="FG9" s="1058"/>
      <c r="FH9" s="1058"/>
      <c r="FI9" s="1058"/>
      <c r="FJ9" s="1058"/>
      <c r="FK9" s="1058"/>
      <c r="FL9" s="1058"/>
      <c r="FM9" s="1058"/>
      <c r="FN9" s="1058"/>
      <c r="FO9" s="1058"/>
      <c r="FP9" s="1058"/>
      <c r="FQ9" s="1058"/>
      <c r="FR9" s="1058"/>
      <c r="FS9" s="1058"/>
      <c r="FT9" s="1058"/>
      <c r="FU9" s="1058"/>
      <c r="FV9" s="1058"/>
      <c r="FW9" s="2450"/>
      <c r="FX9" s="1058"/>
      <c r="GC9" s="935">
        <v>0</v>
      </c>
    </row>
    <row s="935" customFormat="1" customHeight="1" ht="11.549999999999999">
      <c r="B10" s="936"/>
      <c r="F10" s="2431" t="s">
        <v>300</v>
      </c>
      <c r="G10" s="2432"/>
      <c r="H10" s="2432"/>
      <c r="I10" s="2432"/>
      <c r="J10" s="2432"/>
      <c r="K10" s="2432"/>
      <c r="L10" s="2432"/>
      <c r="M10" s="2432"/>
      <c r="N10" s="2432"/>
      <c r="O10" s="2432"/>
      <c r="P10" s="2432"/>
      <c r="Q10" s="2432"/>
      <c r="R10" s="2432"/>
      <c r="S10" s="2432"/>
      <c r="T10" s="2432"/>
      <c r="U10" s="2432"/>
      <c r="V10" s="2432"/>
      <c r="W10" s="2432"/>
      <c r="X10" s="2432"/>
      <c r="Y10" s="2432"/>
      <c r="Z10" s="2432"/>
      <c r="AA10" s="2432"/>
      <c r="AB10" s="2432"/>
      <c r="AC10" s="2432"/>
      <c r="AD10" s="2432"/>
      <c r="AE10" s="2432"/>
      <c r="AF10" s="2432"/>
      <c r="AG10" s="2432"/>
      <c r="AH10" s="2432"/>
      <c r="AI10" s="2432"/>
      <c r="AJ10" s="2432"/>
      <c r="AK10" s="2432"/>
      <c r="AL10" s="2432"/>
      <c r="AM10" s="2432"/>
      <c r="AN10" s="2432"/>
      <c r="AO10" s="2432"/>
      <c r="AP10" s="2432"/>
      <c r="AQ10" s="2432"/>
      <c r="AR10" s="2432"/>
      <c r="AS10" s="2432"/>
      <c r="AT10" s="2432"/>
      <c r="AU10" s="2432"/>
      <c r="AV10" s="2432"/>
      <c r="AW10" s="2432"/>
      <c r="AX10" s="2432"/>
      <c r="AY10" s="2432"/>
      <c r="AZ10" s="2432"/>
      <c r="BA10" s="2432"/>
      <c r="BB10" s="2432"/>
      <c r="BC10" s="2432"/>
      <c r="BD10" s="2432"/>
      <c r="BE10" s="2432"/>
      <c r="BF10" s="2432"/>
      <c r="BG10" s="2432"/>
      <c r="BH10" s="2432"/>
      <c r="BI10" s="2432"/>
      <c r="BJ10" s="2432"/>
      <c r="BK10" s="2432"/>
      <c r="BL10" s="2432"/>
      <c r="BM10" s="2432"/>
      <c r="BN10" s="2432"/>
      <c r="BO10" s="2432"/>
      <c r="BP10" s="2432"/>
      <c r="BQ10" s="2432"/>
      <c r="BR10" s="2432"/>
      <c r="BS10" s="2432"/>
      <c r="BT10" s="2432"/>
      <c r="BU10" s="2432"/>
      <c r="BV10" s="2432"/>
      <c r="BW10" s="2432"/>
      <c r="BX10" s="2432"/>
      <c r="BY10" s="2432"/>
      <c r="BZ10" s="2432"/>
      <c r="CA10" s="2432"/>
      <c r="CB10" s="2432"/>
      <c r="CC10" s="2432"/>
      <c r="CD10" s="2432"/>
      <c r="CE10" s="2432"/>
      <c r="CF10" s="2432"/>
      <c r="CG10" s="2432"/>
      <c r="CH10" s="2432"/>
      <c r="CI10" s="2432"/>
      <c r="CJ10" s="2432"/>
      <c r="CK10" s="2432"/>
      <c r="CL10" s="2432"/>
      <c r="CM10" s="2432"/>
      <c r="CN10" s="2432"/>
      <c r="CO10" s="2432"/>
      <c r="CP10" s="2432"/>
      <c r="CQ10" s="2432"/>
      <c r="CR10" s="2432"/>
      <c r="CS10" s="2432"/>
      <c r="CT10" s="2432"/>
      <c r="CU10" s="2432"/>
      <c r="CV10" s="2432"/>
      <c r="CW10" s="2432"/>
      <c r="CX10" s="2432"/>
      <c r="CY10" s="2432"/>
      <c r="CZ10" s="2432"/>
      <c r="DA10" s="2432"/>
      <c r="DB10" s="2432"/>
      <c r="DC10" s="2432"/>
      <c r="DD10" s="2432"/>
      <c r="DE10" s="2432"/>
      <c r="DF10" s="2432"/>
      <c r="DG10" s="2432"/>
      <c r="DH10" s="2432"/>
      <c r="DI10" s="2432"/>
      <c r="DJ10" s="2432"/>
      <c r="DK10" s="2432"/>
      <c r="DL10" s="2432"/>
      <c r="DM10" s="2432"/>
      <c r="DN10" s="2432"/>
      <c r="DO10" s="2432"/>
      <c r="DP10" s="2432"/>
      <c r="DQ10" s="2432"/>
      <c r="DR10" s="2432"/>
      <c r="DS10" s="2432"/>
      <c r="DT10" s="2432"/>
      <c r="DU10" s="2432"/>
      <c r="DV10" s="2432"/>
      <c r="DW10" s="2432"/>
      <c r="DX10" s="2432"/>
      <c r="DY10" s="2432"/>
      <c r="DZ10" s="2432"/>
      <c r="EA10" s="2432"/>
      <c r="EB10" s="2432"/>
      <c r="EC10" s="2432"/>
      <c r="ED10" s="2432"/>
      <c r="EE10" s="2432"/>
      <c r="EF10" s="2432"/>
      <c r="EG10" s="2432"/>
      <c r="EH10" s="2432"/>
      <c r="EI10" s="2432"/>
      <c r="EJ10" s="2432"/>
      <c r="EK10" s="2432"/>
      <c r="EL10" s="2432"/>
      <c r="EM10" s="2432"/>
      <c r="EN10" s="2432"/>
      <c r="EO10" s="2432"/>
      <c r="EP10" s="2432"/>
      <c r="EQ10" s="2432"/>
      <c r="ER10" s="2432"/>
      <c r="ES10" s="2432"/>
      <c r="ET10" s="2432"/>
      <c r="EU10" s="2432"/>
      <c r="EV10" s="2432"/>
      <c r="EW10" s="2432"/>
      <c r="EX10" s="2432"/>
      <c r="EY10" s="2432"/>
      <c r="EZ10" s="2432"/>
      <c r="FA10" s="2432"/>
      <c r="FB10" s="2432"/>
      <c r="FC10" s="2432"/>
      <c r="FD10" s="2432"/>
      <c r="FE10" s="2432"/>
      <c r="FF10" s="2432"/>
      <c r="FG10" s="2432"/>
      <c r="FH10" s="2432"/>
      <c r="FI10" s="2432"/>
      <c r="FJ10" s="2432"/>
      <c r="FK10" s="2432"/>
      <c r="FL10" s="2432"/>
      <c r="FM10" s="2432"/>
      <c r="FN10" s="2432"/>
      <c r="FO10" s="2432"/>
      <c r="FP10" s="2432"/>
      <c r="FQ10" s="2432"/>
      <c r="FR10" s="2432"/>
      <c r="FS10" s="2432"/>
      <c r="FT10" s="2432"/>
      <c r="FU10" s="2432"/>
      <c r="FV10" s="2433"/>
      <c r="FW10" s="2450"/>
      <c r="FX10" s="1058"/>
      <c r="GC10" s="935">
        <v>11</v>
      </c>
    </row>
    <row customHeight="1" ht="12.75">
      <c r="E11" s="939"/>
      <c r="F11" s="2207" t="s">
        <v>88</v>
      </c>
      <c r="G11" s="2207" t="s">
        <v>1075</v>
      </c>
      <c r="H11" s="2439" t="s">
        <v>1076</v>
      </c>
      <c r="I11" s="2439" t="s">
        <v>1077</v>
      </c>
      <c r="J11" s="2440"/>
      <c r="K11" s="2440"/>
      <c r="L11" s="2440"/>
      <c r="M11" s="2440"/>
      <c r="N11" s="2440"/>
      <c r="O11" s="2211" t="s">
        <v>1078</v>
      </c>
      <c r="P11" s="2211"/>
      <c r="Q11" s="2211"/>
      <c r="R11" s="2211"/>
      <c r="S11" s="2211"/>
      <c r="T11" s="2211"/>
      <c r="U11" s="2211"/>
      <c r="V11" s="2211"/>
      <c r="W11" s="2211"/>
      <c r="X11" s="2211"/>
      <c r="Y11" s="2211"/>
      <c r="Z11" s="2211"/>
      <c r="AA11" s="2211"/>
      <c r="AB11" s="2211"/>
      <c r="AC11" s="2436"/>
      <c r="AD11" s="2436"/>
      <c r="AE11" s="2436"/>
      <c r="AF11" s="2436"/>
      <c r="AG11" s="2436"/>
      <c r="AH11" s="2436"/>
      <c r="AI11" s="2436"/>
      <c r="AJ11" s="2436"/>
      <c r="AK11" s="2436"/>
      <c r="AL11" s="2436"/>
      <c r="AM11" s="2436"/>
      <c r="AN11" s="2436"/>
      <c r="AO11" s="2436"/>
      <c r="AP11" s="2436"/>
      <c r="AQ11" s="2436"/>
      <c r="AR11" s="2436"/>
      <c r="AS11" s="2436"/>
      <c r="AT11" s="2436"/>
      <c r="AU11" s="2436"/>
      <c r="AV11" s="2436"/>
      <c r="AW11" s="2436"/>
      <c r="AX11" s="2436"/>
      <c r="AY11" s="2436"/>
      <c r="AZ11" s="2436"/>
      <c r="BA11" s="2436"/>
      <c r="BB11" s="2436"/>
      <c r="BC11" s="2436"/>
      <c r="BD11" s="2436"/>
      <c r="BE11" s="2436"/>
      <c r="BF11" s="2436"/>
      <c r="BG11" s="2436"/>
      <c r="BH11" s="2436"/>
      <c r="BI11" s="2436"/>
      <c r="BJ11" s="2436"/>
      <c r="BK11" s="2436"/>
      <c r="BL11" s="2436"/>
      <c r="BM11" s="2436"/>
      <c r="BN11" s="2436"/>
      <c r="BO11" s="2436"/>
      <c r="BP11" s="2436"/>
      <c r="BQ11" s="2436"/>
      <c r="BR11" s="2436"/>
      <c r="BS11" s="2455"/>
      <c r="BT11" s="2388" t="s">
        <v>1078</v>
      </c>
      <c r="BU11" s="2389"/>
      <c r="BV11" s="2389"/>
      <c r="BW11" s="2389"/>
      <c r="BX11" s="2389"/>
      <c r="BY11" s="2389"/>
      <c r="BZ11" s="2389"/>
      <c r="CA11" s="2389"/>
      <c r="CB11" s="2389"/>
      <c r="CC11" s="2389"/>
      <c r="CD11" s="2389"/>
      <c r="CE11" s="2389"/>
      <c r="CF11" s="2389"/>
      <c r="CG11" s="2389"/>
      <c r="CH11" s="2389"/>
      <c r="CI11" s="2389"/>
      <c r="CJ11" s="2389"/>
      <c r="CK11" s="2435"/>
      <c r="CL11" s="2438"/>
      <c r="CM11" s="2436"/>
      <c r="CN11" s="2436"/>
      <c r="CO11" s="2436"/>
      <c r="CP11" s="2436"/>
      <c r="CQ11" s="2436"/>
      <c r="CR11" s="2436"/>
      <c r="CS11" s="2436"/>
      <c r="CT11" s="2436"/>
      <c r="CU11" s="2436"/>
      <c r="CV11" s="2436"/>
      <c r="CW11" s="2436"/>
      <c r="CX11" s="2455"/>
      <c r="CY11" s="2388" t="s">
        <v>1078</v>
      </c>
      <c r="CZ11" s="2389"/>
      <c r="DA11" s="2389"/>
      <c r="DB11" s="2389"/>
      <c r="DC11" s="2389"/>
      <c r="DD11" s="2389"/>
      <c r="DE11" s="2389"/>
      <c r="DF11" s="2389"/>
      <c r="DG11" s="2389"/>
      <c r="DH11" s="2389"/>
      <c r="DI11" s="2389"/>
      <c r="DJ11" s="2435"/>
      <c r="DK11" s="2438"/>
      <c r="DL11" s="2436"/>
      <c r="DM11" s="2436"/>
      <c r="DN11" s="2436"/>
      <c r="DO11" s="2436"/>
      <c r="DP11" s="2436"/>
      <c r="DQ11" s="2436"/>
      <c r="DR11" s="2436"/>
      <c r="DS11" s="2436"/>
      <c r="DT11" s="2436"/>
      <c r="DU11" s="2436"/>
      <c r="DV11" s="2436"/>
      <c r="DW11" s="2436"/>
      <c r="DX11" s="2436"/>
      <c r="DY11" s="2436"/>
      <c r="DZ11" s="2436"/>
      <c r="EA11" s="2436"/>
      <c r="EB11" s="2436"/>
      <c r="EC11" s="2436"/>
      <c r="ED11" s="2436"/>
      <c r="EE11" s="2436"/>
      <c r="EF11" s="2436"/>
      <c r="EG11" s="2436"/>
      <c r="EH11" s="2436"/>
      <c r="EI11" s="2436"/>
      <c r="EJ11" s="2436"/>
      <c r="EK11" s="2436"/>
      <c r="EL11" s="2436"/>
      <c r="EM11" s="2436"/>
      <c r="EN11" s="2436"/>
      <c r="EO11" s="2436"/>
      <c r="EP11" s="2436"/>
      <c r="EQ11" s="2436"/>
      <c r="ER11" s="2436"/>
      <c r="ES11" s="2436"/>
      <c r="ET11" s="2436"/>
      <c r="EU11" s="2436"/>
      <c r="EV11" s="2436"/>
      <c r="EW11" s="2436"/>
      <c r="EX11" s="2436"/>
      <c r="EY11" s="2436"/>
      <c r="EZ11" s="2436"/>
      <c r="FA11" s="2436"/>
      <c r="FB11" s="2436"/>
      <c r="FC11" s="2436"/>
      <c r="FD11" s="2436"/>
      <c r="FE11" s="2436"/>
      <c r="FF11" s="2436"/>
      <c r="FG11" s="2436"/>
      <c r="FH11" s="2436"/>
      <c r="FI11" s="2436"/>
      <c r="FJ11" s="2436"/>
      <c r="FK11" s="2436"/>
      <c r="FL11" s="2436"/>
      <c r="FM11" s="2436"/>
      <c r="FN11" s="2436"/>
      <c r="FO11" s="2436"/>
      <c r="FP11" s="2436"/>
      <c r="FQ11" s="2436"/>
      <c r="FR11" s="2436"/>
      <c r="FS11" s="2436"/>
      <c r="FT11" s="2436"/>
      <c r="FU11" s="2436"/>
      <c r="FV11" s="2436"/>
      <c r="FW11" s="2450"/>
      <c r="FX11" s="764"/>
      <c r="GC11" s="928">
        <v>12</v>
      </c>
    </row>
    <row customHeight="1" ht="12.75">
      <c r="D12" s="940"/>
      <c r="E12" s="939"/>
      <c r="F12" s="2207"/>
      <c r="G12" s="2207"/>
      <c r="H12" s="2439"/>
      <c r="I12" s="2439"/>
      <c r="J12" s="2440"/>
      <c r="K12" s="2440"/>
      <c r="L12" s="2440"/>
      <c r="M12" s="2440"/>
      <c r="N12" s="2440"/>
      <c r="O12" s="2211" t="s">
        <v>1079</v>
      </c>
      <c r="P12" s="2211"/>
      <c r="Q12" s="2211"/>
      <c r="R12" s="2211"/>
      <c r="S12" s="2211" t="s">
        <v>1080</v>
      </c>
      <c r="T12" s="2211"/>
      <c r="U12" s="2211"/>
      <c r="V12" s="2211"/>
      <c r="W12" s="2211"/>
      <c r="X12" s="2211"/>
      <c r="Y12" s="2211"/>
      <c r="Z12" s="2211"/>
      <c r="AA12" s="2211"/>
      <c r="AB12" s="2211"/>
      <c r="AC12" s="2436"/>
      <c r="AD12" s="2436"/>
      <c r="AE12" s="2436"/>
      <c r="AF12" s="2436"/>
      <c r="AG12" s="2436"/>
      <c r="AH12" s="2436"/>
      <c r="AI12" s="2436"/>
      <c r="AJ12" s="2436"/>
      <c r="AK12" s="2436"/>
      <c r="AL12" s="2436"/>
      <c r="AM12" s="2436"/>
      <c r="AN12" s="2436"/>
      <c r="AO12" s="2436"/>
      <c r="AP12" s="2436"/>
      <c r="AQ12" s="2436"/>
      <c r="AR12" s="2436"/>
      <c r="AS12" s="2436"/>
      <c r="AT12" s="2436"/>
      <c r="AU12" s="2436"/>
      <c r="AV12" s="2436"/>
      <c r="AW12" s="2436"/>
      <c r="AX12" s="2436"/>
      <c r="AY12" s="2436"/>
      <c r="AZ12" s="2436"/>
      <c r="BA12" s="2436"/>
      <c r="BB12" s="2436"/>
      <c r="BC12" s="2436"/>
      <c r="BD12" s="2436"/>
      <c r="BE12" s="2436"/>
      <c r="BF12" s="2436"/>
      <c r="BG12" s="2436"/>
      <c r="BH12" s="2436"/>
      <c r="BI12" s="2436"/>
      <c r="BJ12" s="2436"/>
      <c r="BK12" s="2436"/>
      <c r="BL12" s="2436"/>
      <c r="BM12" s="2436"/>
      <c r="BN12" s="2436"/>
      <c r="BO12" s="2436"/>
      <c r="BP12" s="2436"/>
      <c r="BQ12" s="2436"/>
      <c r="BR12" s="2436"/>
      <c r="BS12" s="2455"/>
      <c r="BT12" s="2388" t="s">
        <v>1081</v>
      </c>
      <c r="BU12" s="2389"/>
      <c r="BV12" s="2389"/>
      <c r="BW12" s="2435"/>
      <c r="BX12" s="2388" t="s">
        <v>1082</v>
      </c>
      <c r="BY12" s="2389"/>
      <c r="BZ12" s="2389"/>
      <c r="CA12" s="2435"/>
      <c r="CB12" s="2388" t="s">
        <v>1083</v>
      </c>
      <c r="CC12" s="2435"/>
      <c r="CD12" s="2388" t="s">
        <v>1084</v>
      </c>
      <c r="CE12" s="2389"/>
      <c r="CF12" s="2389"/>
      <c r="CG12" s="2389"/>
      <c r="CH12" s="2389"/>
      <c r="CI12" s="2389"/>
      <c r="CJ12" s="2389"/>
      <c r="CK12" s="2435"/>
      <c r="CL12" s="2438"/>
      <c r="CM12" s="2436"/>
      <c r="CN12" s="2436"/>
      <c r="CO12" s="2436"/>
      <c r="CP12" s="2436"/>
      <c r="CQ12" s="2436"/>
      <c r="CR12" s="2436"/>
      <c r="CS12" s="2436"/>
      <c r="CT12" s="2436"/>
      <c r="CU12" s="2436"/>
      <c r="CV12" s="2436"/>
      <c r="CW12" s="2436"/>
      <c r="CX12" s="2455"/>
      <c r="CY12" s="2388" t="s">
        <v>1085</v>
      </c>
      <c r="CZ12" s="2389"/>
      <c r="DA12" s="2389"/>
      <c r="DB12" s="2389"/>
      <c r="DC12" s="2389"/>
      <c r="DD12" s="2435"/>
      <c r="DE12" s="2388" t="s">
        <v>1086</v>
      </c>
      <c r="DF12" s="2435"/>
      <c r="DG12" s="2388" t="s">
        <v>1084</v>
      </c>
      <c r="DH12" s="2389"/>
      <c r="DI12" s="2389"/>
      <c r="DJ12" s="2435"/>
      <c r="DK12" s="2438"/>
      <c r="DL12" s="2436"/>
      <c r="DM12" s="2436"/>
      <c r="DN12" s="2436"/>
      <c r="DO12" s="2436"/>
      <c r="DP12" s="2436"/>
      <c r="DQ12" s="2436"/>
      <c r="DR12" s="2436"/>
      <c r="DS12" s="2436"/>
      <c r="DT12" s="2436"/>
      <c r="DU12" s="2436"/>
      <c r="DV12" s="2436"/>
      <c r="DW12" s="2436"/>
      <c r="DX12" s="2436"/>
      <c r="DY12" s="2436"/>
      <c r="DZ12" s="2436"/>
      <c r="EA12" s="2436"/>
      <c r="EB12" s="2436"/>
      <c r="EC12" s="2436"/>
      <c r="ED12" s="2436"/>
      <c r="EE12" s="2436"/>
      <c r="EF12" s="2436"/>
      <c r="EG12" s="2436"/>
      <c r="EH12" s="2436"/>
      <c r="EI12" s="2436"/>
      <c r="EJ12" s="2436"/>
      <c r="EK12" s="2436"/>
      <c r="EL12" s="2436"/>
      <c r="EM12" s="2436"/>
      <c r="EN12" s="2436"/>
      <c r="EO12" s="2436"/>
      <c r="EP12" s="2436"/>
      <c r="EQ12" s="2436"/>
      <c r="ER12" s="2436"/>
      <c r="ES12" s="2436"/>
      <c r="ET12" s="2436"/>
      <c r="EU12" s="2436"/>
      <c r="EV12" s="2436"/>
      <c r="EW12" s="2436"/>
      <c r="EX12" s="2436"/>
      <c r="EY12" s="2436"/>
      <c r="EZ12" s="2436"/>
      <c r="FA12" s="2436"/>
      <c r="FB12" s="2436"/>
      <c r="FC12" s="2436"/>
      <c r="FD12" s="2436"/>
      <c r="FE12" s="2436"/>
      <c r="FF12" s="2436"/>
      <c r="FG12" s="2436"/>
      <c r="FH12" s="2436"/>
      <c r="FI12" s="2436"/>
      <c r="FJ12" s="2436"/>
      <c r="FK12" s="2436"/>
      <c r="FL12" s="2436"/>
      <c r="FM12" s="2436"/>
      <c r="FN12" s="2436"/>
      <c r="FO12" s="2436"/>
      <c r="FP12" s="2436"/>
      <c r="FQ12" s="2436"/>
      <c r="FR12" s="2436"/>
      <c r="FS12" s="2436"/>
      <c r="FT12" s="2436"/>
      <c r="FU12" s="2436"/>
      <c r="FV12" s="2436"/>
      <c r="FW12" s="2450"/>
      <c r="FX12" s="764"/>
      <c r="GC12" s="928">
        <v>12</v>
      </c>
    </row>
    <row customHeight="1" ht="37.8">
      <c r="D13" s="940"/>
      <c r="E13" s="939"/>
      <c r="F13" s="2207"/>
      <c r="G13" s="2207"/>
      <c r="H13" s="2439"/>
      <c r="I13" s="2439"/>
      <c r="J13" s="2440"/>
      <c r="K13" s="2440"/>
      <c r="L13" s="2440"/>
      <c r="M13" s="2440"/>
      <c r="N13" s="2440"/>
      <c r="O13" s="2211" t="s">
        <v>1087</v>
      </c>
      <c r="P13" s="2211"/>
      <c r="Q13" s="2211"/>
      <c r="R13" s="2211"/>
      <c r="S13" s="2338" t="s">
        <v>1088</v>
      </c>
      <c r="T13" s="2390"/>
      <c r="U13" s="2129" t="s">
        <v>1089</v>
      </c>
      <c r="V13" s="2129"/>
      <c r="W13" s="2129"/>
      <c r="X13" s="2129"/>
      <c r="Y13" s="2129" t="s">
        <v>1090</v>
      </c>
      <c r="Z13" s="2129"/>
      <c r="AA13" s="2129"/>
      <c r="AB13" s="2129"/>
      <c r="AC13" s="2436"/>
      <c r="AD13" s="2436"/>
      <c r="AE13" s="2436"/>
      <c r="AF13" s="2436"/>
      <c r="AG13" s="2436"/>
      <c r="AH13" s="2436"/>
      <c r="AI13" s="2436"/>
      <c r="AJ13" s="2436"/>
      <c r="AK13" s="2436"/>
      <c r="AL13" s="2436"/>
      <c r="AM13" s="2436"/>
      <c r="AN13" s="2436"/>
      <c r="AO13" s="2436"/>
      <c r="AP13" s="2436"/>
      <c r="AQ13" s="2436"/>
      <c r="AR13" s="2436"/>
      <c r="AS13" s="2436"/>
      <c r="AT13" s="2436"/>
      <c r="AU13" s="2436"/>
      <c r="AV13" s="2436"/>
      <c r="AW13" s="2436"/>
      <c r="AX13" s="2436"/>
      <c r="AY13" s="2436"/>
      <c r="AZ13" s="2436"/>
      <c r="BA13" s="2436"/>
      <c r="BB13" s="2436"/>
      <c r="BC13" s="2436"/>
      <c r="BD13" s="2436"/>
      <c r="BE13" s="2436"/>
      <c r="BF13" s="2436"/>
      <c r="BG13" s="2436"/>
      <c r="BH13" s="2436"/>
      <c r="BI13" s="2436"/>
      <c r="BJ13" s="2436"/>
      <c r="BK13" s="2436"/>
      <c r="BL13" s="2436"/>
      <c r="BM13" s="2436"/>
      <c r="BN13" s="2436"/>
      <c r="BO13" s="2436"/>
      <c r="BP13" s="2436"/>
      <c r="BQ13" s="2436"/>
      <c r="BR13" s="2436"/>
      <c r="BS13" s="2455"/>
      <c r="BT13" s="2338" t="s">
        <v>1091</v>
      </c>
      <c r="BU13" s="2390"/>
      <c r="BV13" s="2338" t="s">
        <v>1092</v>
      </c>
      <c r="BW13" s="2390"/>
      <c r="BX13" s="2338" t="s">
        <v>1093</v>
      </c>
      <c r="BY13" s="2390"/>
      <c r="BZ13" s="2338" t="s">
        <v>1094</v>
      </c>
      <c r="CA13" s="2390"/>
      <c r="CB13" s="2338" t="s">
        <v>1095</v>
      </c>
      <c r="CC13" s="2390"/>
      <c r="CD13" s="2338" t="s">
        <v>1096</v>
      </c>
      <c r="CE13" s="2390"/>
      <c r="CF13" s="2338" t="s">
        <v>1097</v>
      </c>
      <c r="CG13" s="2390"/>
      <c r="CH13" s="2388" t="s">
        <v>1098</v>
      </c>
      <c r="CI13" s="2389"/>
      <c r="CJ13" s="2389"/>
      <c r="CK13" s="2435"/>
      <c r="CL13" s="2438"/>
      <c r="CM13" s="2436"/>
      <c r="CN13" s="2436"/>
      <c r="CO13" s="2436"/>
      <c r="CP13" s="2436"/>
      <c r="CQ13" s="2436"/>
      <c r="CR13" s="2436"/>
      <c r="CS13" s="2436"/>
      <c r="CT13" s="2436"/>
      <c r="CU13" s="2436"/>
      <c r="CV13" s="2436"/>
      <c r="CW13" s="2436"/>
      <c r="CX13" s="2455"/>
      <c r="CY13" s="2338" t="s">
        <v>1099</v>
      </c>
      <c r="CZ13" s="2390"/>
      <c r="DA13" s="2338" t="s">
        <v>1100</v>
      </c>
      <c r="DB13" s="2390"/>
      <c r="DC13" s="2338" t="s">
        <v>1101</v>
      </c>
      <c r="DD13" s="2390"/>
      <c r="DE13" s="2338" t="s">
        <v>1102</v>
      </c>
      <c r="DF13" s="2390"/>
      <c r="DG13" s="2388" t="s">
        <v>1103</v>
      </c>
      <c r="DH13" s="2389"/>
      <c r="DI13" s="2389"/>
      <c r="DJ13" s="2435"/>
      <c r="DK13" s="2438"/>
      <c r="DL13" s="2436"/>
      <c r="DM13" s="2436"/>
      <c r="DN13" s="2436"/>
      <c r="DO13" s="2436"/>
      <c r="DP13" s="2436"/>
      <c r="DQ13" s="2436"/>
      <c r="DR13" s="2436"/>
      <c r="DS13" s="2436"/>
      <c r="DT13" s="2436"/>
      <c r="DU13" s="2436"/>
      <c r="DV13" s="2436"/>
      <c r="DW13" s="2436"/>
      <c r="DX13" s="2436"/>
      <c r="DY13" s="2436"/>
      <c r="DZ13" s="2436"/>
      <c r="EA13" s="2436"/>
      <c r="EB13" s="2436"/>
      <c r="EC13" s="2436"/>
      <c r="ED13" s="2436"/>
      <c r="EE13" s="2436"/>
      <c r="EF13" s="2436"/>
      <c r="EG13" s="2436"/>
      <c r="EH13" s="2436"/>
      <c r="EI13" s="2436"/>
      <c r="EJ13" s="2436"/>
      <c r="EK13" s="2436"/>
      <c r="EL13" s="2436"/>
      <c r="EM13" s="2436"/>
      <c r="EN13" s="2436"/>
      <c r="EO13" s="2436"/>
      <c r="EP13" s="2436"/>
      <c r="EQ13" s="2436"/>
      <c r="ER13" s="2436"/>
      <c r="ES13" s="2436"/>
      <c r="ET13" s="2436"/>
      <c r="EU13" s="2436"/>
      <c r="EV13" s="2436"/>
      <c r="EW13" s="2436"/>
      <c r="EX13" s="2436"/>
      <c r="EY13" s="2436"/>
      <c r="EZ13" s="2436"/>
      <c r="FA13" s="2436"/>
      <c r="FB13" s="2436"/>
      <c r="FC13" s="2436"/>
      <c r="FD13" s="2436"/>
      <c r="FE13" s="2436"/>
      <c r="FF13" s="2436"/>
      <c r="FG13" s="2436"/>
      <c r="FH13" s="2436"/>
      <c r="FI13" s="2436"/>
      <c r="FJ13" s="2436"/>
      <c r="FK13" s="2436"/>
      <c r="FL13" s="2436"/>
      <c r="FM13" s="2436"/>
      <c r="FN13" s="2436"/>
      <c r="FO13" s="2436"/>
      <c r="FP13" s="2436"/>
      <c r="FQ13" s="2436"/>
      <c r="FR13" s="2436"/>
      <c r="FS13" s="2436"/>
      <c r="FT13" s="2436"/>
      <c r="FU13" s="2436"/>
      <c r="FV13" s="2436"/>
      <c r="FW13" s="2450"/>
      <c r="FX13" s="764"/>
      <c r="GC13" s="928">
        <v>36</v>
      </c>
    </row>
    <row customHeight="1" ht="37.8">
      <c r="D14" s="940"/>
      <c r="E14" s="939"/>
      <c r="F14" s="2207"/>
      <c r="G14" s="2207"/>
      <c r="H14" s="2439"/>
      <c r="I14" s="2439"/>
      <c r="J14" s="2440"/>
      <c r="K14" s="2440"/>
      <c r="L14" s="2440"/>
      <c r="M14" s="2440"/>
      <c r="N14" s="2440"/>
      <c r="O14" s="2338" t="s">
        <v>1104</v>
      </c>
      <c r="P14" s="2390"/>
      <c r="Q14" s="2338" t="s">
        <v>1105</v>
      </c>
      <c r="R14" s="2390"/>
      <c r="S14" s="2339"/>
      <c r="T14" s="2215"/>
      <c r="U14" s="2338" t="s">
        <v>836</v>
      </c>
      <c r="V14" s="2390"/>
      <c r="W14" s="2338" t="s">
        <v>839</v>
      </c>
      <c r="X14" s="2390"/>
      <c r="Y14" s="2338" t="s">
        <v>836</v>
      </c>
      <c r="Z14" s="2390"/>
      <c r="AA14" s="2338" t="s">
        <v>846</v>
      </c>
      <c r="AB14" s="2390"/>
      <c r="AC14" s="2436"/>
      <c r="AD14" s="2436"/>
      <c r="AE14" s="2436"/>
      <c r="AF14" s="2436"/>
      <c r="AG14" s="2436"/>
      <c r="AH14" s="2436"/>
      <c r="AI14" s="2436"/>
      <c r="AJ14" s="2436"/>
      <c r="AK14" s="2436"/>
      <c r="AL14" s="2436"/>
      <c r="AM14" s="2436"/>
      <c r="AN14" s="2436"/>
      <c r="AO14" s="2436"/>
      <c r="AP14" s="2436"/>
      <c r="AQ14" s="2436"/>
      <c r="AR14" s="2436"/>
      <c r="AS14" s="2436"/>
      <c r="AT14" s="2436"/>
      <c r="AU14" s="2436"/>
      <c r="AV14" s="2436"/>
      <c r="AW14" s="2436"/>
      <c r="AX14" s="2436"/>
      <c r="AY14" s="2436"/>
      <c r="AZ14" s="2436"/>
      <c r="BA14" s="2436"/>
      <c r="BB14" s="2436"/>
      <c r="BC14" s="2436"/>
      <c r="BD14" s="2436"/>
      <c r="BE14" s="2436"/>
      <c r="BF14" s="2436"/>
      <c r="BG14" s="2436"/>
      <c r="BH14" s="2436"/>
      <c r="BI14" s="2436"/>
      <c r="BJ14" s="2436"/>
      <c r="BK14" s="2436"/>
      <c r="BL14" s="2436"/>
      <c r="BM14" s="2436"/>
      <c r="BN14" s="2436"/>
      <c r="BO14" s="2436"/>
      <c r="BP14" s="2436"/>
      <c r="BQ14" s="2436"/>
      <c r="BR14" s="2436"/>
      <c r="BS14" s="2455"/>
      <c r="BT14" s="2339"/>
      <c r="BU14" s="2215"/>
      <c r="BV14" s="2339"/>
      <c r="BW14" s="2215"/>
      <c r="BX14" s="2339"/>
      <c r="BY14" s="2215"/>
      <c r="BZ14" s="2339"/>
      <c r="CA14" s="2215"/>
      <c r="CB14" s="2339"/>
      <c r="CC14" s="2215"/>
      <c r="CD14" s="2339"/>
      <c r="CE14" s="2215"/>
      <c r="CF14" s="2339"/>
      <c r="CG14" s="2215"/>
      <c r="CH14" s="2338" t="s">
        <v>1106</v>
      </c>
      <c r="CI14" s="2390"/>
      <c r="CJ14" s="2338" t="s">
        <v>1107</v>
      </c>
      <c r="CK14" s="2390"/>
      <c r="CL14" s="2438"/>
      <c r="CM14" s="2436"/>
      <c r="CN14" s="2436"/>
      <c r="CO14" s="2436"/>
      <c r="CP14" s="2436"/>
      <c r="CQ14" s="2436"/>
      <c r="CR14" s="2436"/>
      <c r="CS14" s="2436"/>
      <c r="CT14" s="2436"/>
      <c r="CU14" s="2436"/>
      <c r="CV14" s="2436"/>
      <c r="CW14" s="2436"/>
      <c r="CX14" s="2455"/>
      <c r="CY14" s="2339"/>
      <c r="CZ14" s="2215"/>
      <c r="DA14" s="2339"/>
      <c r="DB14" s="2215"/>
      <c r="DC14" s="2339"/>
      <c r="DD14" s="2215"/>
      <c r="DE14" s="2339"/>
      <c r="DF14" s="2215"/>
      <c r="DG14" s="2338" t="s">
        <v>1108</v>
      </c>
      <c r="DH14" s="2390"/>
      <c r="DI14" s="2338" t="s">
        <v>1109</v>
      </c>
      <c r="DJ14" s="2390"/>
      <c r="DK14" s="2438"/>
      <c r="DL14" s="2436"/>
      <c r="DM14" s="2436"/>
      <c r="DN14" s="2436"/>
      <c r="DO14" s="2436"/>
      <c r="DP14" s="2436"/>
      <c r="DQ14" s="2436"/>
      <c r="DR14" s="2436"/>
      <c r="DS14" s="2436"/>
      <c r="DT14" s="2436"/>
      <c r="DU14" s="2436"/>
      <c r="DV14" s="2436"/>
      <c r="DW14" s="2436"/>
      <c r="DX14" s="2436"/>
      <c r="DY14" s="2436"/>
      <c r="DZ14" s="2436"/>
      <c r="EA14" s="2436"/>
      <c r="EB14" s="2436"/>
      <c r="EC14" s="2436"/>
      <c r="ED14" s="2436"/>
      <c r="EE14" s="2436"/>
      <c r="EF14" s="2436"/>
      <c r="EG14" s="2436"/>
      <c r="EH14" s="2436"/>
      <c r="EI14" s="2436"/>
      <c r="EJ14" s="2436"/>
      <c r="EK14" s="2436"/>
      <c r="EL14" s="2436"/>
      <c r="EM14" s="2436"/>
      <c r="EN14" s="2436"/>
      <c r="EO14" s="2436"/>
      <c r="EP14" s="2436"/>
      <c r="EQ14" s="2436"/>
      <c r="ER14" s="2436"/>
      <c r="ES14" s="2436"/>
      <c r="ET14" s="2436"/>
      <c r="EU14" s="2436"/>
      <c r="EV14" s="2436"/>
      <c r="EW14" s="2436"/>
      <c r="EX14" s="2436"/>
      <c r="EY14" s="2436"/>
      <c r="EZ14" s="2436"/>
      <c r="FA14" s="2436"/>
      <c r="FB14" s="2436"/>
      <c r="FC14" s="2436"/>
      <c r="FD14" s="2436"/>
      <c r="FE14" s="2436"/>
      <c r="FF14" s="2436"/>
      <c r="FG14" s="2436"/>
      <c r="FH14" s="2436"/>
      <c r="FI14" s="2436"/>
      <c r="FJ14" s="2436"/>
      <c r="FK14" s="2436"/>
      <c r="FL14" s="2436"/>
      <c r="FM14" s="2436"/>
      <c r="FN14" s="2436"/>
      <c r="FO14" s="2436"/>
      <c r="FP14" s="2436"/>
      <c r="FQ14" s="2436"/>
      <c r="FR14" s="2436"/>
      <c r="FS14" s="2436"/>
      <c r="FT14" s="2436"/>
      <c r="FU14" s="2436"/>
      <c r="FV14" s="2436"/>
      <c r="FW14" s="2450"/>
      <c r="FX14" s="764"/>
      <c r="GC14" s="928">
        <v>36</v>
      </c>
    </row>
    <row customHeight="1" ht="37.8">
      <c r="D15" s="940"/>
      <c r="E15" s="939"/>
      <c r="F15" s="2207"/>
      <c r="G15" s="2207"/>
      <c r="H15" s="2439"/>
      <c r="I15" s="2439"/>
      <c r="J15" s="2440"/>
      <c r="K15" s="2440"/>
      <c r="L15" s="2440"/>
      <c r="M15" s="2440"/>
      <c r="N15" s="2440"/>
      <c r="O15" s="2340"/>
      <c r="P15" s="2437"/>
      <c r="Q15" s="2340"/>
      <c r="R15" s="2437"/>
      <c r="S15" s="2340"/>
      <c r="T15" s="2437"/>
      <c r="U15" s="2340"/>
      <c r="V15" s="2437"/>
      <c r="W15" s="2340"/>
      <c r="X15" s="2437"/>
      <c r="Y15" s="2340"/>
      <c r="Z15" s="2437"/>
      <c r="AA15" s="2340"/>
      <c r="AB15" s="2437"/>
      <c r="AC15" s="2436"/>
      <c r="AD15" s="2436"/>
      <c r="AE15" s="2436"/>
      <c r="AF15" s="2436"/>
      <c r="AG15" s="2436"/>
      <c r="AH15" s="2436"/>
      <c r="AI15" s="2436"/>
      <c r="AJ15" s="2436"/>
      <c r="AK15" s="2436"/>
      <c r="AL15" s="2436"/>
      <c r="AM15" s="2436"/>
      <c r="AN15" s="2436"/>
      <c r="AO15" s="2436"/>
      <c r="AP15" s="2436"/>
      <c r="AQ15" s="2436"/>
      <c r="AR15" s="2436"/>
      <c r="AS15" s="2436"/>
      <c r="AT15" s="2436"/>
      <c r="AU15" s="2436"/>
      <c r="AV15" s="2436"/>
      <c r="AW15" s="2436"/>
      <c r="AX15" s="2436"/>
      <c r="AY15" s="2436"/>
      <c r="AZ15" s="2436"/>
      <c r="BA15" s="2436"/>
      <c r="BB15" s="2436"/>
      <c r="BC15" s="2436"/>
      <c r="BD15" s="2436"/>
      <c r="BE15" s="2436"/>
      <c r="BF15" s="2436"/>
      <c r="BG15" s="2436"/>
      <c r="BH15" s="2436"/>
      <c r="BI15" s="2436"/>
      <c r="BJ15" s="2436"/>
      <c r="BK15" s="2436"/>
      <c r="BL15" s="2436"/>
      <c r="BM15" s="2436"/>
      <c r="BN15" s="2436"/>
      <c r="BO15" s="2436"/>
      <c r="BP15" s="2436"/>
      <c r="BQ15" s="2436"/>
      <c r="BR15" s="2436"/>
      <c r="BS15" s="2455"/>
      <c r="BT15" s="2340"/>
      <c r="BU15" s="2437"/>
      <c r="BV15" s="2340"/>
      <c r="BW15" s="2437"/>
      <c r="BX15" s="2340"/>
      <c r="BY15" s="2437"/>
      <c r="BZ15" s="2340"/>
      <c r="CA15" s="2437"/>
      <c r="CB15" s="2340"/>
      <c r="CC15" s="2437"/>
      <c r="CD15" s="2340"/>
      <c r="CE15" s="2437"/>
      <c r="CF15" s="2340"/>
      <c r="CG15" s="2437"/>
      <c r="CH15" s="2340"/>
      <c r="CI15" s="2437"/>
      <c r="CJ15" s="2340"/>
      <c r="CK15" s="2437"/>
      <c r="CL15" s="2438"/>
      <c r="CM15" s="2436"/>
      <c r="CN15" s="2436"/>
      <c r="CO15" s="2436"/>
      <c r="CP15" s="2436"/>
      <c r="CQ15" s="2436"/>
      <c r="CR15" s="2436"/>
      <c r="CS15" s="2436"/>
      <c r="CT15" s="2436"/>
      <c r="CU15" s="2436"/>
      <c r="CV15" s="2436"/>
      <c r="CW15" s="2436"/>
      <c r="CX15" s="2455"/>
      <c r="CY15" s="2340"/>
      <c r="CZ15" s="2437"/>
      <c r="DA15" s="2340"/>
      <c r="DB15" s="2437"/>
      <c r="DC15" s="2340"/>
      <c r="DD15" s="2437"/>
      <c r="DE15" s="2340"/>
      <c r="DF15" s="2437"/>
      <c r="DG15" s="2340"/>
      <c r="DH15" s="2437"/>
      <c r="DI15" s="2340"/>
      <c r="DJ15" s="2437"/>
      <c r="DK15" s="2438"/>
      <c r="DL15" s="2436"/>
      <c r="DM15" s="2436"/>
      <c r="DN15" s="2436"/>
      <c r="DO15" s="2436"/>
      <c r="DP15" s="2436"/>
      <c r="DQ15" s="2436"/>
      <c r="DR15" s="2436"/>
      <c r="DS15" s="2436"/>
      <c r="DT15" s="2436"/>
      <c r="DU15" s="2436"/>
      <c r="DV15" s="2436"/>
      <c r="DW15" s="2436"/>
      <c r="DX15" s="2436"/>
      <c r="DY15" s="2436"/>
      <c r="DZ15" s="2436"/>
      <c r="EA15" s="2436"/>
      <c r="EB15" s="2436"/>
      <c r="EC15" s="2436"/>
      <c r="ED15" s="2436"/>
      <c r="EE15" s="2436"/>
      <c r="EF15" s="2436"/>
      <c r="EG15" s="2436"/>
      <c r="EH15" s="2436"/>
      <c r="EI15" s="2436"/>
      <c r="EJ15" s="2436"/>
      <c r="EK15" s="2436"/>
      <c r="EL15" s="2436"/>
      <c r="EM15" s="2436"/>
      <c r="EN15" s="2436"/>
      <c r="EO15" s="2436"/>
      <c r="EP15" s="2436"/>
      <c r="EQ15" s="2436"/>
      <c r="ER15" s="2436"/>
      <c r="ES15" s="2436"/>
      <c r="ET15" s="2436"/>
      <c r="EU15" s="2436"/>
      <c r="EV15" s="2436"/>
      <c r="EW15" s="2436"/>
      <c r="EX15" s="2436"/>
      <c r="EY15" s="2436"/>
      <c r="EZ15" s="2436"/>
      <c r="FA15" s="2436"/>
      <c r="FB15" s="2436"/>
      <c r="FC15" s="2436"/>
      <c r="FD15" s="2436"/>
      <c r="FE15" s="2436"/>
      <c r="FF15" s="2436"/>
      <c r="FG15" s="2436"/>
      <c r="FH15" s="2436"/>
      <c r="FI15" s="2436"/>
      <c r="FJ15" s="2436"/>
      <c r="FK15" s="2436"/>
      <c r="FL15" s="2436"/>
      <c r="FM15" s="2436"/>
      <c r="FN15" s="2436"/>
      <c r="FO15" s="2436"/>
      <c r="FP15" s="2436"/>
      <c r="FQ15" s="2436"/>
      <c r="FR15" s="2436"/>
      <c r="FS15" s="2436"/>
      <c r="FT15" s="2436"/>
      <c r="FU15" s="2436"/>
      <c r="FV15" s="2436"/>
      <c r="FW15" s="2450"/>
      <c r="FX15" s="764"/>
      <c r="GC15" s="928">
        <v>36</v>
      </c>
    </row>
    <row customHeight="1" ht="12.75">
      <c r="D16" s="940"/>
      <c r="E16" s="939"/>
      <c r="F16" s="2207"/>
      <c r="G16" s="2207"/>
      <c r="H16" s="2439"/>
      <c r="I16" s="2439"/>
      <c r="J16" s="2440"/>
      <c r="K16" s="2440"/>
      <c r="L16" s="2440"/>
      <c r="M16" s="2440"/>
      <c r="N16" s="2440"/>
      <c r="O16" s="2388" t="s">
        <v>826</v>
      </c>
      <c r="P16" s="2435"/>
      <c r="Q16" s="2388" t="s">
        <v>828</v>
      </c>
      <c r="R16" s="2435"/>
      <c r="S16" s="2388" t="s">
        <v>832</v>
      </c>
      <c r="T16" s="2435"/>
      <c r="U16" s="2388" t="s">
        <v>837</v>
      </c>
      <c r="V16" s="2435"/>
      <c r="W16" s="2388" t="s">
        <v>840</v>
      </c>
      <c r="X16" s="2435"/>
      <c r="Y16" s="2388" t="s">
        <v>844</v>
      </c>
      <c r="Z16" s="2435"/>
      <c r="AA16" s="2388" t="s">
        <v>847</v>
      </c>
      <c r="AB16" s="2435"/>
      <c r="AC16" s="2436"/>
      <c r="AD16" s="2436"/>
      <c r="AE16" s="2436"/>
      <c r="AF16" s="2436"/>
      <c r="AG16" s="2436"/>
      <c r="AH16" s="2436"/>
      <c r="AI16" s="2436"/>
      <c r="AJ16" s="2436"/>
      <c r="AK16" s="2436"/>
      <c r="AL16" s="2436"/>
      <c r="AM16" s="2436"/>
      <c r="AN16" s="2436"/>
      <c r="AO16" s="2436"/>
      <c r="AP16" s="2436"/>
      <c r="AQ16" s="2436"/>
      <c r="AR16" s="2436"/>
      <c r="AS16" s="2436"/>
      <c r="AT16" s="2436"/>
      <c r="AU16" s="2436"/>
      <c r="AV16" s="2436"/>
      <c r="AW16" s="2436"/>
      <c r="AX16" s="2436"/>
      <c r="AY16" s="2436"/>
      <c r="AZ16" s="2436"/>
      <c r="BA16" s="2436"/>
      <c r="BB16" s="2436"/>
      <c r="BC16" s="2436"/>
      <c r="BD16" s="2436"/>
      <c r="BE16" s="2436"/>
      <c r="BF16" s="2436"/>
      <c r="BG16" s="2436"/>
      <c r="BH16" s="2436"/>
      <c r="BI16" s="2436"/>
      <c r="BJ16" s="2436"/>
      <c r="BK16" s="2436"/>
      <c r="BL16" s="2436"/>
      <c r="BM16" s="2436"/>
      <c r="BN16" s="2436"/>
      <c r="BO16" s="2436"/>
      <c r="BP16" s="2436"/>
      <c r="BQ16" s="2436"/>
      <c r="BR16" s="2436"/>
      <c r="BS16" s="2455"/>
      <c r="BT16" s="2388" t="s">
        <v>558</v>
      </c>
      <c r="BU16" s="2435"/>
      <c r="BV16" s="2388" t="s">
        <v>558</v>
      </c>
      <c r="BW16" s="2435"/>
      <c r="BX16" s="2388" t="s">
        <v>558</v>
      </c>
      <c r="BY16" s="2435"/>
      <c r="BZ16" s="2388" t="s">
        <v>558</v>
      </c>
      <c r="CA16" s="2435"/>
      <c r="CB16" s="2388" t="s">
        <v>1110</v>
      </c>
      <c r="CC16" s="2435"/>
      <c r="CD16" s="2388" t="s">
        <v>558</v>
      </c>
      <c r="CE16" s="2435"/>
      <c r="CF16" s="2388" t="s">
        <v>1111</v>
      </c>
      <c r="CG16" s="2435"/>
      <c r="CH16" s="2388" t="s">
        <v>1112</v>
      </c>
      <c r="CI16" s="2435"/>
      <c r="CJ16" s="2388" t="s">
        <v>1112</v>
      </c>
      <c r="CK16" s="2435"/>
      <c r="CL16" s="2438"/>
      <c r="CM16" s="2436"/>
      <c r="CN16" s="2436"/>
      <c r="CO16" s="2436"/>
      <c r="CP16" s="2436"/>
      <c r="CQ16" s="2436"/>
      <c r="CR16" s="2436"/>
      <c r="CS16" s="2436"/>
      <c r="CT16" s="2436"/>
      <c r="CU16" s="2436"/>
      <c r="CV16" s="2436"/>
      <c r="CW16" s="2436"/>
      <c r="CX16" s="2455"/>
      <c r="CY16" s="2338" t="s">
        <v>558</v>
      </c>
      <c r="CZ16" s="2390"/>
      <c r="DA16" s="2338" t="s">
        <v>558</v>
      </c>
      <c r="DB16" s="2390"/>
      <c r="DC16" s="2338" t="s">
        <v>558</v>
      </c>
      <c r="DD16" s="2390"/>
      <c r="DE16" s="2388" t="s">
        <v>1110</v>
      </c>
      <c r="DF16" s="2435"/>
      <c r="DG16" s="2388" t="s">
        <v>1113</v>
      </c>
      <c r="DH16" s="2435"/>
      <c r="DI16" s="2388" t="s">
        <v>1113</v>
      </c>
      <c r="DJ16" s="2435"/>
      <c r="DK16" s="2438"/>
      <c r="DL16" s="2436"/>
      <c r="DM16" s="2436"/>
      <c r="DN16" s="2436"/>
      <c r="DO16" s="2436"/>
      <c r="DP16" s="2436"/>
      <c r="DQ16" s="2436"/>
      <c r="DR16" s="2436"/>
      <c r="DS16" s="2436"/>
      <c r="DT16" s="2436"/>
      <c r="DU16" s="2436"/>
      <c r="DV16" s="2436"/>
      <c r="DW16" s="2436"/>
      <c r="DX16" s="2436"/>
      <c r="DY16" s="2436"/>
      <c r="DZ16" s="2436"/>
      <c r="EA16" s="2436"/>
      <c r="EB16" s="2436"/>
      <c r="EC16" s="2436"/>
      <c r="ED16" s="2436"/>
      <c r="EE16" s="2436"/>
      <c r="EF16" s="2436"/>
      <c r="EG16" s="2436"/>
      <c r="EH16" s="2436"/>
      <c r="EI16" s="2436"/>
      <c r="EJ16" s="2436"/>
      <c r="EK16" s="2436"/>
      <c r="EL16" s="2436"/>
      <c r="EM16" s="2436"/>
      <c r="EN16" s="2436"/>
      <c r="EO16" s="2436"/>
      <c r="EP16" s="2436"/>
      <c r="EQ16" s="2436"/>
      <c r="ER16" s="2436"/>
      <c r="ES16" s="2436"/>
      <c r="ET16" s="2436"/>
      <c r="EU16" s="2436"/>
      <c r="EV16" s="2436"/>
      <c r="EW16" s="2436"/>
      <c r="EX16" s="2436"/>
      <c r="EY16" s="2436"/>
      <c r="EZ16" s="2436"/>
      <c r="FA16" s="2436"/>
      <c r="FB16" s="2436"/>
      <c r="FC16" s="2436"/>
      <c r="FD16" s="2436"/>
      <c r="FE16" s="2436"/>
      <c r="FF16" s="2436"/>
      <c r="FG16" s="2436"/>
      <c r="FH16" s="2436"/>
      <c r="FI16" s="2436"/>
      <c r="FJ16" s="2436"/>
      <c r="FK16" s="2436"/>
      <c r="FL16" s="2436"/>
      <c r="FM16" s="2436"/>
      <c r="FN16" s="2436"/>
      <c r="FO16" s="2436"/>
      <c r="FP16" s="2436"/>
      <c r="FQ16" s="2436"/>
      <c r="FR16" s="2436"/>
      <c r="FS16" s="2436"/>
      <c r="FT16" s="2436"/>
      <c r="FU16" s="2436"/>
      <c r="FV16" s="2436"/>
      <c r="FW16" s="2450"/>
      <c r="FX16" s="764"/>
      <c r="GC16" s="928">
        <v>12</v>
      </c>
    </row>
    <row customHeight="1" ht="15.75">
      <c r="E17" s="939"/>
      <c r="F17" s="2207"/>
      <c r="G17" s="2207"/>
      <c r="H17" s="2439"/>
      <c r="I17" s="2439"/>
      <c r="J17" s="2440"/>
      <c r="K17" s="2440"/>
      <c r="L17" s="2440"/>
      <c r="M17" s="2440"/>
      <c r="N17" s="2440"/>
      <c r="O17" s="1193" t="s">
        <v>1114</v>
      </c>
      <c r="P17" s="1193" t="s">
        <v>1115</v>
      </c>
      <c r="Q17" s="1193" t="s">
        <v>1114</v>
      </c>
      <c r="R17" s="1193" t="s">
        <v>1115</v>
      </c>
      <c r="S17" s="1193" t="s">
        <v>1114</v>
      </c>
      <c r="T17" s="1193" t="s">
        <v>1115</v>
      </c>
      <c r="U17" s="1193" t="s">
        <v>1114</v>
      </c>
      <c r="V17" s="1193" t="s">
        <v>1115</v>
      </c>
      <c r="W17" s="1193" t="s">
        <v>1114</v>
      </c>
      <c r="X17" s="1193" t="s">
        <v>1115</v>
      </c>
      <c r="Y17" s="1193" t="s">
        <v>1114</v>
      </c>
      <c r="Z17" s="1193" t="s">
        <v>1115</v>
      </c>
      <c r="AA17" s="1193" t="s">
        <v>1114</v>
      </c>
      <c r="AB17" s="1193" t="s">
        <v>1115</v>
      </c>
      <c r="AC17" s="2436"/>
      <c r="AD17" s="2436"/>
      <c r="AE17" s="2436"/>
      <c r="AF17" s="2436"/>
      <c r="AG17" s="2436"/>
      <c r="AH17" s="2436"/>
      <c r="AI17" s="2436"/>
      <c r="AJ17" s="2436"/>
      <c r="AK17" s="2436"/>
      <c r="AL17" s="2436"/>
      <c r="AM17" s="2436"/>
      <c r="AN17" s="2436"/>
      <c r="AO17" s="2436"/>
      <c r="AP17" s="2436"/>
      <c r="AQ17" s="2436"/>
      <c r="AR17" s="2436"/>
      <c r="AS17" s="2436"/>
      <c r="AT17" s="2436"/>
      <c r="AU17" s="2436"/>
      <c r="AV17" s="2436"/>
      <c r="AW17" s="2436"/>
      <c r="AX17" s="2436"/>
      <c r="AY17" s="2436"/>
      <c r="AZ17" s="2436"/>
      <c r="BA17" s="2436"/>
      <c r="BB17" s="2436"/>
      <c r="BC17" s="2436"/>
      <c r="BD17" s="2436"/>
      <c r="BE17" s="2436"/>
      <c r="BF17" s="2436"/>
      <c r="BG17" s="2436"/>
      <c r="BH17" s="2436"/>
      <c r="BI17" s="2436"/>
      <c r="BJ17" s="2436"/>
      <c r="BK17" s="2436"/>
      <c r="BL17" s="2436"/>
      <c r="BM17" s="2436"/>
      <c r="BN17" s="2436"/>
      <c r="BO17" s="2436"/>
      <c r="BP17" s="2436"/>
      <c r="BQ17" s="2436"/>
      <c r="BR17" s="2436"/>
      <c r="BS17" s="2455"/>
      <c r="BT17" s="1193" t="s">
        <v>1114</v>
      </c>
      <c r="BU17" s="1193" t="s">
        <v>1115</v>
      </c>
      <c r="BV17" s="1193" t="s">
        <v>1114</v>
      </c>
      <c r="BW17" s="1193" t="s">
        <v>1115</v>
      </c>
      <c r="BX17" s="1193" t="s">
        <v>1114</v>
      </c>
      <c r="BY17" s="1193" t="s">
        <v>1115</v>
      </c>
      <c r="BZ17" s="1193" t="s">
        <v>1114</v>
      </c>
      <c r="CA17" s="1193" t="s">
        <v>1115</v>
      </c>
      <c r="CB17" s="1193" t="s">
        <v>1114</v>
      </c>
      <c r="CC17" s="1193" t="s">
        <v>1115</v>
      </c>
      <c r="CD17" s="1193" t="s">
        <v>1114</v>
      </c>
      <c r="CE17" s="1193" t="s">
        <v>1115</v>
      </c>
      <c r="CF17" s="1193" t="s">
        <v>1114</v>
      </c>
      <c r="CG17" s="1193" t="s">
        <v>1115</v>
      </c>
      <c r="CH17" s="1193" t="s">
        <v>1114</v>
      </c>
      <c r="CI17" s="1193" t="s">
        <v>1115</v>
      </c>
      <c r="CJ17" s="1193" t="s">
        <v>1114</v>
      </c>
      <c r="CK17" s="1193" t="s">
        <v>1115</v>
      </c>
      <c r="CL17" s="2438"/>
      <c r="CM17" s="2436"/>
      <c r="CN17" s="2436"/>
      <c r="CO17" s="2436"/>
      <c r="CP17" s="2436"/>
      <c r="CQ17" s="2436"/>
      <c r="CR17" s="2436"/>
      <c r="CS17" s="2436"/>
      <c r="CT17" s="2436"/>
      <c r="CU17" s="2436"/>
      <c r="CV17" s="2436"/>
      <c r="CW17" s="2436"/>
      <c r="CX17" s="2455"/>
      <c r="CY17" s="1193" t="s">
        <v>1114</v>
      </c>
      <c r="CZ17" s="1193" t="s">
        <v>1115</v>
      </c>
      <c r="DA17" s="1193" t="s">
        <v>1114</v>
      </c>
      <c r="DB17" s="1193" t="s">
        <v>1115</v>
      </c>
      <c r="DC17" s="1193" t="s">
        <v>1114</v>
      </c>
      <c r="DD17" s="1193" t="s">
        <v>1115</v>
      </c>
      <c r="DE17" s="1193" t="s">
        <v>1114</v>
      </c>
      <c r="DF17" s="1193" t="s">
        <v>1115</v>
      </c>
      <c r="DG17" s="1193" t="s">
        <v>1114</v>
      </c>
      <c r="DH17" s="1193" t="s">
        <v>1115</v>
      </c>
      <c r="DI17" s="1193" t="s">
        <v>1114</v>
      </c>
      <c r="DJ17" s="1193" t="s">
        <v>1115</v>
      </c>
      <c r="DK17" s="2438"/>
      <c r="DL17" s="2436"/>
      <c r="DM17" s="2436"/>
      <c r="DN17" s="2436"/>
      <c r="DO17" s="2436"/>
      <c r="DP17" s="2436"/>
      <c r="DQ17" s="2436"/>
      <c r="DR17" s="2436"/>
      <c r="DS17" s="2436"/>
      <c r="DT17" s="2436"/>
      <c r="DU17" s="2436"/>
      <c r="DV17" s="2436"/>
      <c r="DW17" s="2436"/>
      <c r="DX17" s="2436"/>
      <c r="DY17" s="2436"/>
      <c r="DZ17" s="2436"/>
      <c r="EA17" s="2436"/>
      <c r="EB17" s="2436"/>
      <c r="EC17" s="2436"/>
      <c r="ED17" s="2436"/>
      <c r="EE17" s="2436"/>
      <c r="EF17" s="2436"/>
      <c r="EG17" s="2436"/>
      <c r="EH17" s="2436"/>
      <c r="EI17" s="2436"/>
      <c r="EJ17" s="2436"/>
      <c r="EK17" s="2436"/>
      <c r="EL17" s="2436"/>
      <c r="EM17" s="2436"/>
      <c r="EN17" s="2436"/>
      <c r="EO17" s="2436"/>
      <c r="EP17" s="2436"/>
      <c r="EQ17" s="2436"/>
      <c r="ER17" s="2436"/>
      <c r="ES17" s="2436"/>
      <c r="ET17" s="2436"/>
      <c r="EU17" s="2436"/>
      <c r="EV17" s="2436"/>
      <c r="EW17" s="2436"/>
      <c r="EX17" s="2436"/>
      <c r="EY17" s="2436"/>
      <c r="EZ17" s="2436"/>
      <c r="FA17" s="2436"/>
      <c r="FB17" s="2436"/>
      <c r="FC17" s="2436"/>
      <c r="FD17" s="2436"/>
      <c r="FE17" s="2436"/>
      <c r="FF17" s="2436"/>
      <c r="FG17" s="2436"/>
      <c r="FH17" s="2436"/>
      <c r="FI17" s="2436"/>
      <c r="FJ17" s="2436"/>
      <c r="FK17" s="2436"/>
      <c r="FL17" s="2436"/>
      <c r="FM17" s="2436"/>
      <c r="FN17" s="2436"/>
      <c r="FO17" s="2436"/>
      <c r="FP17" s="2436"/>
      <c r="FQ17" s="2436"/>
      <c r="FR17" s="2436"/>
      <c r="FS17" s="2436"/>
      <c r="FT17" s="2436"/>
      <c r="FU17" s="2436"/>
      <c r="FV17" s="2436"/>
      <c r="FW17" s="2451"/>
      <c r="FX17" s="764"/>
      <c r="GC17" s="928">
        <v>15</v>
      </c>
    </row>
    <row s="927" customFormat="1" customHeight="1" ht="12" hidden="1">
      <c r="B18" s="925"/>
      <c r="E18" s="941"/>
      <c r="F18" s="1194"/>
      <c r="G18" s="1194"/>
      <c r="H18" s="1194"/>
      <c r="I18" s="1194"/>
      <c r="J18" s="1195"/>
      <c r="K18" s="1195"/>
      <c r="L18" s="1195"/>
      <c r="M18" s="1195"/>
      <c r="N18" s="1195"/>
      <c r="O18" s="1194"/>
      <c r="P18" s="1194"/>
      <c r="Q18" s="1194"/>
      <c r="R18" s="1194"/>
      <c r="S18" s="1194"/>
      <c r="T18" s="1194"/>
      <c r="U18" s="1196"/>
      <c r="V18" s="1196"/>
      <c r="W18" s="1196"/>
      <c r="X18" s="1196"/>
      <c r="Y18" s="1196"/>
      <c r="Z18" s="1196"/>
      <c r="AA18" s="1196"/>
      <c r="AB18" s="1194"/>
      <c r="AC18" s="1195"/>
      <c r="AD18" s="1195"/>
      <c r="AE18" s="1195"/>
      <c r="AF18" s="1195"/>
      <c r="AG18" s="1195"/>
      <c r="AH18" s="1195"/>
      <c r="AI18" s="1195"/>
      <c r="AJ18" s="1195"/>
      <c r="AK18" s="1195"/>
      <c r="AL18" s="1195"/>
      <c r="AM18" s="1195"/>
      <c r="AN18" s="1195"/>
      <c r="AO18" s="1195"/>
      <c r="AP18" s="1195"/>
      <c r="AQ18" s="1195"/>
      <c r="AR18" s="1195"/>
      <c r="AS18" s="1195"/>
      <c r="AT18" s="1195"/>
      <c r="AU18" s="1195"/>
      <c r="AV18" s="1195"/>
      <c r="AW18" s="1195"/>
      <c r="AX18" s="1195"/>
      <c r="AY18" s="1195"/>
      <c r="AZ18" s="1195"/>
      <c r="BA18" s="1195"/>
      <c r="BB18" s="1195"/>
      <c r="BC18" s="1195"/>
      <c r="BD18" s="1195"/>
      <c r="BE18" s="1195"/>
      <c r="BF18" s="1195"/>
      <c r="BG18" s="1195"/>
      <c r="BH18" s="1195"/>
      <c r="BI18" s="1195"/>
      <c r="BJ18" s="1195"/>
      <c r="BK18" s="1195"/>
      <c r="BL18" s="1195"/>
      <c r="BM18" s="1195"/>
      <c r="BN18" s="1195"/>
      <c r="BO18" s="1195"/>
      <c r="BP18" s="1195"/>
      <c r="BQ18" s="1195"/>
      <c r="BR18" s="1195"/>
      <c r="BS18" s="1195"/>
      <c r="BT18" s="1197"/>
      <c r="BU18" s="1197"/>
      <c r="BV18" s="1197"/>
      <c r="BW18" s="1197"/>
      <c r="BX18" s="1197"/>
      <c r="BY18" s="1197"/>
      <c r="BZ18" s="1197"/>
      <c r="CA18" s="1197"/>
      <c r="CB18" s="1197"/>
      <c r="CC18" s="1197"/>
      <c r="CD18" s="1197"/>
      <c r="CE18" s="1197"/>
      <c r="CF18" s="1197"/>
      <c r="CG18" s="1197"/>
      <c r="CH18" s="1197"/>
      <c r="CI18" s="1197"/>
      <c r="CJ18" s="1197"/>
      <c r="CK18" s="1197"/>
      <c r="CL18" s="1195"/>
      <c r="CM18" s="1195"/>
      <c r="CN18" s="1195"/>
      <c r="CO18" s="1195"/>
      <c r="CP18" s="1195"/>
      <c r="CQ18" s="1195"/>
      <c r="CR18" s="1195"/>
      <c r="CS18" s="1195"/>
      <c r="CT18" s="1195"/>
      <c r="CU18" s="1195"/>
      <c r="CV18" s="1195"/>
      <c r="CW18" s="1195"/>
      <c r="CX18" s="1195"/>
      <c r="CY18" s="1197"/>
      <c r="CZ18" s="1197"/>
      <c r="DA18" s="1197"/>
      <c r="DB18" s="1197"/>
      <c r="DC18" s="1197"/>
      <c r="DD18" s="1197"/>
      <c r="DE18" s="1197"/>
      <c r="DF18" s="1197"/>
      <c r="DG18" s="1197"/>
      <c r="DH18" s="1197"/>
      <c r="DI18" s="1197"/>
      <c r="DJ18" s="1197"/>
      <c r="DK18" s="1195"/>
      <c r="DL18" s="1195"/>
      <c r="DM18" s="1195"/>
      <c r="DN18" s="1195"/>
      <c r="DO18" s="1195"/>
      <c r="DP18" s="1195"/>
      <c r="DQ18" s="1195"/>
      <c r="DR18" s="1195"/>
      <c r="DS18" s="1195"/>
      <c r="DT18" s="1195"/>
      <c r="DU18" s="1195"/>
      <c r="DV18" s="1195"/>
      <c r="DW18" s="1195"/>
      <c r="DX18" s="1195"/>
      <c r="DY18" s="1195"/>
      <c r="DZ18" s="1195"/>
      <c r="EA18" s="1195"/>
      <c r="EB18" s="1195"/>
      <c r="EC18" s="1195"/>
      <c r="ED18" s="1195"/>
      <c r="EE18" s="1195"/>
      <c r="EF18" s="1195"/>
      <c r="EG18" s="1195"/>
      <c r="EH18" s="1195"/>
      <c r="EI18" s="1195"/>
      <c r="EJ18" s="1195"/>
      <c r="EK18" s="1195"/>
      <c r="EL18" s="1195"/>
      <c r="EM18" s="1195"/>
      <c r="EN18" s="1195"/>
      <c r="EO18" s="1195"/>
      <c r="EP18" s="1195"/>
      <c r="EQ18" s="1195"/>
      <c r="ER18" s="1195"/>
      <c r="ES18" s="1195"/>
      <c r="ET18" s="1195"/>
      <c r="EU18" s="1195"/>
      <c r="EV18" s="1195"/>
      <c r="EW18" s="1195"/>
      <c r="EX18" s="1195"/>
      <c r="EY18" s="1195"/>
      <c r="EZ18" s="1195"/>
      <c r="FA18" s="1195"/>
      <c r="FB18" s="1195"/>
      <c r="FC18" s="1195"/>
      <c r="FD18" s="1195"/>
      <c r="FE18" s="1195"/>
      <c r="FF18" s="1195"/>
      <c r="FG18" s="1195"/>
      <c r="FH18" s="1195"/>
      <c r="FI18" s="1195"/>
      <c r="FJ18" s="1195"/>
      <c r="FK18" s="1195"/>
      <c r="FL18" s="1195"/>
      <c r="FM18" s="1195"/>
      <c r="FN18" s="1195"/>
      <c r="FO18" s="1195"/>
      <c r="FP18" s="1195"/>
      <c r="FQ18" s="1195"/>
      <c r="FR18" s="1195"/>
      <c r="FS18" s="1195"/>
      <c r="FT18" s="1195"/>
      <c r="FU18" s="1195"/>
      <c r="FV18" s="1195"/>
      <c r="FW18" s="1194"/>
      <c r="FX18" s="1198"/>
      <c r="GC18" s="926">
        <v>0</v>
      </c>
    </row>
    <row s="927" customFormat="1" customHeight="1" ht="11.25" hidden="1">
      <c r="B19" s="925"/>
      <c r="E19" s="941"/>
      <c r="F19" s="1194"/>
      <c r="G19" s="1194"/>
      <c r="H19" s="1194"/>
      <c r="I19" s="1194"/>
      <c r="J19" s="1194"/>
      <c r="K19" s="1194"/>
      <c r="L19" s="1194"/>
      <c r="M19" s="1194"/>
      <c r="N19" s="1194"/>
      <c r="O19" s="1194"/>
      <c r="P19" s="1194"/>
      <c r="Q19" s="1194"/>
      <c r="R19" s="1194"/>
      <c r="S19" s="1194"/>
      <c r="T19" s="1194"/>
      <c r="U19" s="1196"/>
      <c r="V19" s="1196"/>
      <c r="W19" s="1196"/>
      <c r="X19" s="1196"/>
      <c r="Y19" s="1196"/>
      <c r="Z19" s="1196"/>
      <c r="AA19" s="1196"/>
      <c r="AB19" s="1194"/>
      <c r="AC19" s="1194"/>
      <c r="AD19" s="1194"/>
      <c r="AE19" s="1194"/>
      <c r="AF19" s="1194"/>
      <c r="AG19" s="1194"/>
      <c r="AH19" s="1194"/>
      <c r="AI19" s="1194"/>
      <c r="AJ19" s="1194"/>
      <c r="AK19" s="1194"/>
      <c r="AL19" s="1194"/>
      <c r="AM19" s="1194"/>
      <c r="AN19" s="1194"/>
      <c r="AO19" s="1194"/>
      <c r="AP19" s="1194"/>
      <c r="AQ19" s="1194"/>
      <c r="AR19" s="1194"/>
      <c r="AS19" s="1194"/>
      <c r="AT19" s="1194"/>
      <c r="AU19" s="1194"/>
      <c r="AV19" s="1194"/>
      <c r="AW19" s="1194"/>
      <c r="AX19" s="1194"/>
      <c r="AY19" s="1194"/>
      <c r="AZ19" s="1194"/>
      <c r="BA19" s="1194"/>
      <c r="BB19" s="1194"/>
      <c r="BC19" s="1194"/>
      <c r="BD19" s="1194"/>
      <c r="BE19" s="1194"/>
      <c r="BF19" s="1194"/>
      <c r="BG19" s="1194"/>
      <c r="BH19" s="1194"/>
      <c r="BI19" s="1194"/>
      <c r="BJ19" s="1194"/>
      <c r="BK19" s="1194"/>
      <c r="BL19" s="1194"/>
      <c r="BM19" s="1194"/>
      <c r="BN19" s="1194"/>
      <c r="BO19" s="1194"/>
      <c r="BP19" s="1194"/>
      <c r="BQ19" s="1194"/>
      <c r="BR19" s="1194"/>
      <c r="BS19" s="1194"/>
      <c r="BT19" s="1194"/>
      <c r="BU19" s="1194"/>
      <c r="BV19" s="1194"/>
      <c r="BW19" s="1194"/>
      <c r="BX19" s="1194"/>
      <c r="BY19" s="1194"/>
      <c r="BZ19" s="1194"/>
      <c r="CA19" s="1194"/>
      <c r="CB19" s="1194"/>
      <c r="CC19" s="1194"/>
      <c r="CD19" s="1194"/>
      <c r="CE19" s="1194"/>
      <c r="CF19" s="1194"/>
      <c r="CG19" s="1194"/>
      <c r="CH19" s="1194"/>
      <c r="CI19" s="1194"/>
      <c r="CJ19" s="1194"/>
      <c r="CK19" s="1194"/>
      <c r="CL19" s="1194"/>
      <c r="CM19" s="1194"/>
      <c r="CN19" s="1194"/>
      <c r="CO19" s="1194"/>
      <c r="CP19" s="1194"/>
      <c r="CQ19" s="1194"/>
      <c r="CR19" s="1194"/>
      <c r="CS19" s="1194"/>
      <c r="CT19" s="1194"/>
      <c r="CU19" s="1194"/>
      <c r="CV19" s="1194"/>
      <c r="CW19" s="1194"/>
      <c r="CX19" s="1194"/>
      <c r="CY19" s="1194"/>
      <c r="CZ19" s="1194"/>
      <c r="DA19" s="1194"/>
      <c r="DB19" s="1194"/>
      <c r="DC19" s="1194"/>
      <c r="DD19" s="1194"/>
      <c r="DE19" s="1194"/>
      <c r="DF19" s="1194"/>
      <c r="DG19" s="1194"/>
      <c r="DH19" s="1194"/>
      <c r="DI19" s="1194"/>
      <c r="DJ19" s="1194"/>
      <c r="DK19" s="1194"/>
      <c r="DL19" s="1194"/>
      <c r="DM19" s="1194"/>
      <c r="DN19" s="1194"/>
      <c r="DO19" s="1194"/>
      <c r="DP19" s="1194"/>
      <c r="DQ19" s="1194"/>
      <c r="DR19" s="1194"/>
      <c r="DS19" s="1194"/>
      <c r="DT19" s="1194"/>
      <c r="DU19" s="1194"/>
      <c r="DV19" s="1194"/>
      <c r="DW19" s="1194"/>
      <c r="DX19" s="1194"/>
      <c r="DY19" s="1194"/>
      <c r="DZ19" s="1194"/>
      <c r="EA19" s="1194"/>
      <c r="EB19" s="1194"/>
      <c r="EC19" s="1194"/>
      <c r="ED19" s="1194"/>
      <c r="EE19" s="1194"/>
      <c r="EF19" s="1194"/>
      <c r="EG19" s="1194"/>
      <c r="EH19" s="1194"/>
      <c r="EI19" s="1194"/>
      <c r="EJ19" s="1194"/>
      <c r="EK19" s="1194"/>
      <c r="EL19" s="1194"/>
      <c r="EM19" s="1194"/>
      <c r="EN19" s="1194"/>
      <c r="EO19" s="1194"/>
      <c r="EP19" s="1194"/>
      <c r="EQ19" s="1194"/>
      <c r="ER19" s="1194"/>
      <c r="ES19" s="1194"/>
      <c r="ET19" s="1194"/>
      <c r="EU19" s="1194"/>
      <c r="EV19" s="1194"/>
      <c r="EW19" s="1194"/>
      <c r="EX19" s="1194"/>
      <c r="EY19" s="1194"/>
      <c r="EZ19" s="1194"/>
      <c r="FA19" s="1194"/>
      <c r="FB19" s="1194"/>
      <c r="FC19" s="1194"/>
      <c r="FD19" s="1194"/>
      <c r="FE19" s="1194"/>
      <c r="FF19" s="1194"/>
      <c r="FG19" s="1194"/>
      <c r="FH19" s="1194"/>
      <c r="FI19" s="1194"/>
      <c r="FJ19" s="1194"/>
      <c r="FK19" s="1194"/>
      <c r="FL19" s="1194"/>
      <c r="FM19" s="1194"/>
      <c r="FN19" s="1194"/>
      <c r="FO19" s="1194"/>
      <c r="FP19" s="1194"/>
      <c r="FQ19" s="1194"/>
      <c r="FR19" s="1194"/>
      <c r="FS19" s="1194"/>
      <c r="FT19" s="1194"/>
      <c r="FU19" s="1194"/>
      <c r="FV19" s="1194"/>
      <c r="FW19" s="1194"/>
      <c r="FX19" s="1198"/>
      <c r="GC19" s="926">
        <v>0</v>
      </c>
    </row>
    <row s="927" customFormat="1" customHeight="1" ht="11.25" hidden="1">
      <c r="B20" s="942"/>
      <c r="D20" s="926"/>
      <c r="E20" s="941"/>
      <c r="F20" s="1199" t="s">
        <v>376</v>
      </c>
      <c r="G20" s="1200"/>
      <c r="H20" s="1201"/>
      <c r="I20" s="1201"/>
      <c r="J20" s="1201"/>
      <c r="K20" s="1201"/>
      <c r="L20" s="1201"/>
      <c r="M20" s="1201"/>
      <c r="N20" s="1201"/>
      <c r="O20" s="1200"/>
      <c r="P20" s="1200"/>
      <c r="Q20" s="1200"/>
      <c r="R20" s="1200"/>
      <c r="S20" s="1200"/>
      <c r="T20" s="1200"/>
      <c r="U20" s="1202"/>
      <c r="V20" s="1202"/>
      <c r="W20" s="1202"/>
      <c r="X20" s="1202"/>
      <c r="Y20" s="1202"/>
      <c r="Z20" s="1202"/>
      <c r="AA20" s="1202"/>
      <c r="AB20" s="1200"/>
      <c r="AC20" s="1201"/>
      <c r="AD20" s="1201"/>
      <c r="AE20" s="1201"/>
      <c r="AF20" s="1201"/>
      <c r="AG20" s="1201"/>
      <c r="AH20" s="1201"/>
      <c r="AI20" s="1201"/>
      <c r="AJ20" s="1201"/>
      <c r="AK20" s="1201"/>
      <c r="AL20" s="1201"/>
      <c r="AM20" s="1201"/>
      <c r="AN20" s="1201"/>
      <c r="AO20" s="1201"/>
      <c r="AP20" s="1201"/>
      <c r="AQ20" s="1201"/>
      <c r="AR20" s="1201"/>
      <c r="AS20" s="1201"/>
      <c r="AT20" s="1201"/>
      <c r="AU20" s="1201"/>
      <c r="AV20" s="120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c r="CJ20" s="1201"/>
      <c r="CK20" s="1201"/>
      <c r="CL20" s="1203"/>
      <c r="CM20" s="1203"/>
      <c r="CN20" s="1203"/>
      <c r="CO20" s="1203"/>
      <c r="CP20" s="1203"/>
      <c r="CQ20" s="1203"/>
      <c r="CR20" s="1203"/>
      <c r="CS20" s="1203"/>
      <c r="CT20" s="1203"/>
      <c r="CU20" s="1203"/>
      <c r="CV20" s="1203"/>
      <c r="CW20" s="1203"/>
      <c r="CX20" s="1203"/>
      <c r="CY20" s="1203"/>
      <c r="CZ20" s="1203"/>
      <c r="DA20" s="1203"/>
      <c r="DB20" s="1203"/>
      <c r="DC20" s="1203"/>
      <c r="DD20" s="1203"/>
      <c r="DE20" s="1203"/>
      <c r="DF20" s="1203"/>
      <c r="DG20" s="1203"/>
      <c r="DH20" s="1203"/>
      <c r="DI20" s="1203"/>
      <c r="DJ20" s="1203"/>
      <c r="DK20" s="1203"/>
      <c r="DL20" s="1203"/>
      <c r="DM20" s="1203"/>
      <c r="DN20" s="1203"/>
      <c r="DO20" s="1203"/>
      <c r="DP20" s="1203"/>
      <c r="DQ20" s="1203"/>
      <c r="DR20" s="1203"/>
      <c r="DS20" s="1203"/>
      <c r="DT20" s="1203"/>
      <c r="DU20" s="1203"/>
      <c r="DV20" s="1203"/>
      <c r="DW20" s="1203"/>
      <c r="DX20" s="1203"/>
      <c r="DY20" s="1203"/>
      <c r="DZ20" s="1203"/>
      <c r="EA20" s="1203"/>
      <c r="EB20" s="1203"/>
      <c r="EC20" s="1203"/>
      <c r="ED20" s="1203"/>
      <c r="EE20" s="1203"/>
      <c r="EF20" s="1203"/>
      <c r="EG20" s="1203"/>
      <c r="EH20" s="1203"/>
      <c r="EI20" s="1203"/>
      <c r="EJ20" s="1203"/>
      <c r="EK20" s="1203"/>
      <c r="EL20" s="1203"/>
      <c r="EM20" s="1203"/>
      <c r="EN20" s="1203"/>
      <c r="EO20" s="1203"/>
      <c r="EP20" s="1203"/>
      <c r="EQ20" s="1203"/>
      <c r="ER20" s="1203"/>
      <c r="ES20" s="1203"/>
      <c r="ET20" s="1203"/>
      <c r="EU20" s="1203"/>
      <c r="EV20" s="1203"/>
      <c r="EW20" s="1203"/>
      <c r="EX20" s="1203"/>
      <c r="EY20" s="1203"/>
      <c r="EZ20" s="1203"/>
      <c r="FA20" s="1203"/>
      <c r="FB20" s="1203"/>
      <c r="FC20" s="1203"/>
      <c r="FD20" s="1203"/>
      <c r="FE20" s="1203"/>
      <c r="FF20" s="1203"/>
      <c r="FG20" s="1203"/>
      <c r="FH20" s="1203"/>
      <c r="FI20" s="1203"/>
      <c r="FJ20" s="1203"/>
      <c r="FK20" s="1203"/>
      <c r="FL20" s="1203"/>
      <c r="FM20" s="1203"/>
      <c r="FN20" s="1203"/>
      <c r="FO20" s="1203"/>
      <c r="FP20" s="1203"/>
      <c r="FQ20" s="1203"/>
      <c r="FR20" s="1203"/>
      <c r="FS20" s="1203"/>
      <c r="FT20" s="1203"/>
      <c r="FU20" s="1203"/>
      <c r="FV20" s="1203"/>
      <c r="FW20" s="1203"/>
      <c r="FX20" s="1204"/>
      <c r="GC20" s="924">
        <v>0</v>
      </c>
    </row>
    <row s="927" customFormat="1" customHeight="1" ht="12.75">
      <c r="A21" s="943"/>
      <c r="B21" s="943"/>
      <c r="C21" s="943"/>
      <c r="D21" s="943"/>
      <c r="E21" s="943"/>
      <c r="F21" s="941"/>
      <c r="G21" s="941"/>
      <c r="H21" s="941"/>
      <c r="I21" s="941"/>
      <c r="J21" s="941"/>
      <c r="K21" s="941"/>
      <c r="L21" s="941"/>
      <c r="M21" s="941"/>
      <c r="N21" s="941"/>
      <c r="O21" s="941"/>
      <c r="P21" s="941"/>
      <c r="Q21" s="941"/>
      <c r="R21" s="941"/>
      <c r="S21" s="944"/>
      <c r="T21" s="944"/>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3"/>
      <c r="FY21" s="943"/>
      <c r="FZ21" s="943"/>
      <c r="GA21" s="943"/>
      <c r="GB21" s="943"/>
      <c r="GC21" s="924">
        <v>12</v>
      </c>
    </row>
    <row s="927" customFormat="1" customHeight="1" ht="12.75">
      <c r="A22" s="943"/>
      <c r="B22" s="943"/>
      <c r="C22" s="943"/>
      <c r="D22" s="943"/>
      <c r="E22" s="943"/>
      <c r="FX22" s="943"/>
      <c r="FY22" s="943"/>
      <c r="FZ22" s="943"/>
      <c r="GA22" s="943"/>
      <c r="GB22" s="943"/>
      <c r="GC22" s="924">
        <v>12</v>
      </c>
    </row>
    <row s="1065" customFormat="1" customHeight="1" ht="12.75">
      <c r="A23" s="1064"/>
      <c r="B23" s="1064"/>
      <c r="C23" s="1064"/>
      <c r="D23" s="1064"/>
      <c r="E23" s="1064"/>
      <c r="O23" s="1066"/>
      <c r="P23" s="1066"/>
      <c r="Q23" s="1066"/>
      <c r="R23" s="1066"/>
      <c r="S23" s="1066"/>
      <c r="T23" s="1066"/>
      <c r="U23" s="1066"/>
      <c r="V23" s="1066"/>
      <c r="W23" s="1066"/>
      <c r="X23" s="1066"/>
      <c r="Y23" s="1066"/>
      <c r="Z23" s="1066"/>
      <c r="AA23" s="1066"/>
      <c r="AB23" s="1066"/>
      <c r="AC23" s="1066"/>
      <c r="AD23" s="1066"/>
      <c r="AE23" s="1066"/>
      <c r="AF23" s="1066"/>
      <c r="AG23" s="1066"/>
      <c r="AH23" s="1066"/>
      <c r="AI23" s="1066"/>
      <c r="AJ23" s="1066"/>
      <c r="AK23" s="1066"/>
      <c r="AL23" s="1066"/>
      <c r="AM23" s="1066"/>
      <c r="AN23" s="1066"/>
      <c r="AO23" s="1066"/>
      <c r="AP23" s="1066"/>
      <c r="AQ23" s="1066"/>
      <c r="AR23" s="1066"/>
      <c r="AS23" s="1066"/>
      <c r="AT23" s="1066"/>
      <c r="AU23" s="1066"/>
      <c r="AV23" s="1066"/>
      <c r="AW23" s="1066"/>
      <c r="AX23" s="1066"/>
      <c r="AY23" s="1066"/>
      <c r="AZ23" s="1066"/>
      <c r="BA23" s="1066"/>
      <c r="BB23" s="1066"/>
      <c r="BC23" s="1066"/>
      <c r="BD23" s="1066"/>
      <c r="BE23" s="1066"/>
      <c r="BF23" s="1066"/>
      <c r="BG23" s="1066"/>
      <c r="BH23" s="1066"/>
      <c r="BI23" s="1066"/>
      <c r="BJ23" s="1066"/>
      <c r="BK23" s="1066"/>
      <c r="BL23" s="1066"/>
      <c r="BM23" s="1066"/>
      <c r="BN23" s="1066"/>
      <c r="BO23" s="1066"/>
      <c r="BP23" s="1066"/>
      <c r="BQ23" s="1066"/>
      <c r="BR23" s="1066"/>
      <c r="BS23" s="1066"/>
      <c r="BT23" s="1067"/>
      <c r="BU23" s="1067"/>
      <c r="BV23" s="1067"/>
      <c r="BW23" s="1067"/>
      <c r="BX23" s="1067"/>
      <c r="BY23" s="1067"/>
      <c r="BZ23" s="1067"/>
      <c r="CA23" s="1067"/>
      <c r="CB23" s="1067"/>
      <c r="CC23" s="1067"/>
      <c r="CD23" s="1067"/>
      <c r="CE23" s="1067"/>
      <c r="CF23" s="1067"/>
      <c r="CG23" s="1067"/>
      <c r="CH23" s="1067"/>
      <c r="CI23" s="1067"/>
      <c r="CJ23" s="1067"/>
      <c r="CK23" s="1067"/>
      <c r="CL23" s="1067"/>
      <c r="CM23" s="1067"/>
      <c r="CN23" s="1067"/>
      <c r="CO23" s="1067"/>
      <c r="CP23" s="1067"/>
      <c r="CQ23" s="1067"/>
      <c r="CR23" s="1067"/>
      <c r="CS23" s="1067"/>
      <c r="CT23" s="1067"/>
      <c r="CU23" s="1067"/>
      <c r="CV23" s="1067"/>
      <c r="CW23" s="1067"/>
      <c r="CX23" s="1067"/>
      <c r="CY23" s="1067"/>
      <c r="CZ23" s="1067"/>
      <c r="DA23" s="1067"/>
      <c r="DB23" s="1067"/>
      <c r="DC23" s="1067"/>
      <c r="DD23" s="1067"/>
      <c r="DE23" s="1067"/>
      <c r="DF23" s="1067"/>
      <c r="DG23" s="1067"/>
      <c r="DH23" s="1067"/>
      <c r="DI23" s="1067"/>
      <c r="DJ23" s="1067"/>
      <c r="DK23" s="1067"/>
      <c r="DL23" s="1067"/>
      <c r="DM23" s="1067"/>
      <c r="DN23" s="1067"/>
      <c r="DO23" s="1067"/>
      <c r="DP23" s="1067"/>
      <c r="DQ23" s="1067"/>
      <c r="DR23" s="1067"/>
      <c r="DS23" s="1067"/>
      <c r="DT23" s="1067"/>
      <c r="DU23" s="1067"/>
      <c r="DV23" s="1067"/>
      <c r="DW23" s="1067"/>
      <c r="DX23" s="1067"/>
      <c r="FX23" s="1064"/>
      <c r="FY23" s="1064"/>
      <c r="FZ23" s="1064"/>
      <c r="GA23" s="1064"/>
      <c r="GB23" s="1064"/>
      <c r="GC23" s="1065">
        <v>12</v>
      </c>
    </row>
    <row customHeight="1" ht="12.75">
      <c r="S24" s="940"/>
      <c r="T24" s="940"/>
      <c r="U24" s="940"/>
      <c r="V24" s="940"/>
      <c r="W24" s="940"/>
      <c r="X24" s="940"/>
      <c r="Y24" s="940"/>
      <c r="Z24" s="940"/>
      <c r="AA24" s="940"/>
      <c r="AB24" s="940"/>
      <c r="FX24" s="940"/>
      <c r="FY24" s="940"/>
      <c r="FZ24" s="940"/>
      <c r="GA24" s="940"/>
      <c r="GB24" s="940"/>
      <c r="GC24" s="928">
        <v>12</v>
      </c>
    </row>
    <row customHeight="1" ht="12" hidden="1">
      <c r="A25" s="928" t="s">
        <v>82</v>
      </c>
      <c r="B25" s="938">
        <v>0</v>
      </c>
      <c r="C25" s="928">
        <v>0</v>
      </c>
      <c r="D25" s="928">
        <v>0</v>
      </c>
      <c r="E25" s="928">
        <v>3</v>
      </c>
      <c r="F25" s="928">
        <v>6</v>
      </c>
      <c r="G25" s="928">
        <v>18</v>
      </c>
      <c r="H25" s="928">
        <v>27</v>
      </c>
      <c r="I25" s="928">
        <v>18</v>
      </c>
      <c r="J25" s="928">
        <v>0</v>
      </c>
      <c r="K25" s="928">
        <v>0</v>
      </c>
      <c r="L25" s="928">
        <v>0</v>
      </c>
      <c r="M25" s="928">
        <v>0</v>
      </c>
      <c r="N25" s="928">
        <v>0</v>
      </c>
      <c r="O25" s="928">
        <v>0</v>
      </c>
      <c r="P25" s="928">
        <v>0</v>
      </c>
      <c r="Q25" s="928">
        <v>0</v>
      </c>
      <c r="R25" s="928">
        <v>0</v>
      </c>
      <c r="S25" s="928">
        <v>0</v>
      </c>
      <c r="T25" s="928">
        <v>0</v>
      </c>
      <c r="U25" s="928">
        <v>0</v>
      </c>
      <c r="V25" s="928">
        <v>0</v>
      </c>
      <c r="W25" s="928">
        <v>0</v>
      </c>
      <c r="X25" s="928">
        <v>0</v>
      </c>
      <c r="Y25" s="928">
        <v>0</v>
      </c>
      <c r="Z25" s="928">
        <v>0</v>
      </c>
      <c r="AA25" s="928">
        <v>0</v>
      </c>
      <c r="AB25" s="928">
        <v>0</v>
      </c>
      <c r="AC25" s="928">
        <v>0</v>
      </c>
      <c r="AD25" s="928">
        <v>0</v>
      </c>
      <c r="AE25" s="928">
        <v>0</v>
      </c>
      <c r="AF25" s="928">
        <v>0</v>
      </c>
      <c r="AG25" s="928">
        <v>0</v>
      </c>
      <c r="AH25" s="928">
        <v>0</v>
      </c>
      <c r="AI25" s="928">
        <v>0</v>
      </c>
      <c r="AJ25" s="928">
        <v>0</v>
      </c>
      <c r="AK25" s="928">
        <v>0</v>
      </c>
      <c r="AL25" s="928">
        <v>0</v>
      </c>
      <c r="AM25" s="928">
        <v>0</v>
      </c>
      <c r="AN25" s="928">
        <v>0</v>
      </c>
      <c r="AO25" s="928">
        <v>0</v>
      </c>
      <c r="AP25" s="928">
        <v>0</v>
      </c>
      <c r="AQ25" s="928">
        <v>0</v>
      </c>
      <c r="AR25" s="928">
        <v>0</v>
      </c>
      <c r="AS25" s="928">
        <v>0</v>
      </c>
      <c r="AT25" s="928">
        <v>0</v>
      </c>
      <c r="AU25" s="928">
        <v>0</v>
      </c>
      <c r="AV25" s="928">
        <v>0</v>
      </c>
      <c r="AW25" s="928">
        <v>0</v>
      </c>
      <c r="AX25" s="928">
        <v>0</v>
      </c>
      <c r="AY25" s="928">
        <v>0</v>
      </c>
      <c r="AZ25" s="928">
        <v>0</v>
      </c>
      <c r="BA25" s="928">
        <v>0</v>
      </c>
      <c r="BB25" s="928">
        <v>0</v>
      </c>
      <c r="BC25" s="928">
        <v>0</v>
      </c>
      <c r="BD25" s="928">
        <v>0</v>
      </c>
      <c r="BE25" s="928">
        <v>0</v>
      </c>
      <c r="BF25" s="928">
        <v>0</v>
      </c>
      <c r="BG25" s="928">
        <v>0</v>
      </c>
      <c r="BH25" s="928">
        <v>0</v>
      </c>
      <c r="BI25" s="928">
        <v>0</v>
      </c>
      <c r="BJ25" s="928">
        <v>0</v>
      </c>
      <c r="BK25" s="928">
        <v>0</v>
      </c>
      <c r="BL25" s="928">
        <v>0</v>
      </c>
      <c r="BM25" s="928">
        <v>0</v>
      </c>
      <c r="BN25" s="928">
        <v>0</v>
      </c>
      <c r="BO25" s="928">
        <v>0</v>
      </c>
      <c r="BP25" s="928">
        <v>0</v>
      </c>
      <c r="BQ25" s="928">
        <v>0</v>
      </c>
      <c r="BR25" s="928">
        <v>0</v>
      </c>
      <c r="BS25" s="928">
        <v>0</v>
      </c>
      <c r="BT25" s="928">
        <v>0</v>
      </c>
      <c r="BU25" s="928">
        <v>0</v>
      </c>
      <c r="BV25" s="928">
        <v>0</v>
      </c>
      <c r="BW25" s="928">
        <v>0</v>
      </c>
      <c r="BX25" s="928">
        <v>0</v>
      </c>
      <c r="BY25" s="928">
        <v>0</v>
      </c>
      <c r="BZ25" s="928">
        <v>0</v>
      </c>
      <c r="CA25" s="928">
        <v>0</v>
      </c>
      <c r="CB25" s="928">
        <v>0</v>
      </c>
      <c r="CC25" s="928">
        <v>0</v>
      </c>
      <c r="CD25" s="928">
        <v>0</v>
      </c>
      <c r="CE25" s="928">
        <v>0</v>
      </c>
      <c r="CF25" s="928">
        <v>0</v>
      </c>
      <c r="CG25" s="928">
        <v>0</v>
      </c>
      <c r="CH25" s="928">
        <v>0</v>
      </c>
      <c r="CI25" s="928">
        <v>0</v>
      </c>
      <c r="CJ25" s="928">
        <v>0</v>
      </c>
      <c r="CK25" s="928">
        <v>0</v>
      </c>
      <c r="CL25" s="928">
        <v>0</v>
      </c>
      <c r="CM25" s="928">
        <v>0</v>
      </c>
      <c r="CN25" s="928">
        <v>0</v>
      </c>
      <c r="CO25" s="928">
        <v>0</v>
      </c>
      <c r="CP25" s="928">
        <v>0</v>
      </c>
      <c r="CQ25" s="928">
        <v>0</v>
      </c>
      <c r="CR25" s="928">
        <v>0</v>
      </c>
      <c r="CS25" s="928">
        <v>0</v>
      </c>
      <c r="CT25" s="928">
        <v>0</v>
      </c>
      <c r="CU25" s="928">
        <v>0</v>
      </c>
      <c r="CV25" s="928">
        <v>0</v>
      </c>
      <c r="CW25" s="928">
        <v>0</v>
      </c>
      <c r="CX25" s="928">
        <v>0</v>
      </c>
      <c r="CY25" s="928">
        <v>0</v>
      </c>
      <c r="CZ25" s="928">
        <v>0</v>
      </c>
      <c r="DA25" s="928">
        <v>0</v>
      </c>
      <c r="DB25" s="928">
        <v>0</v>
      </c>
      <c r="DC25" s="928">
        <v>0</v>
      </c>
      <c r="DD25" s="928">
        <v>0</v>
      </c>
      <c r="DE25" s="928">
        <v>0</v>
      </c>
      <c r="DF25" s="928">
        <v>0</v>
      </c>
      <c r="DG25" s="928">
        <v>0</v>
      </c>
      <c r="DH25" s="928">
        <v>0</v>
      </c>
      <c r="DI25" s="928">
        <v>0</v>
      </c>
      <c r="DJ25" s="928">
        <v>0</v>
      </c>
      <c r="DK25" s="928">
        <v>0</v>
      </c>
      <c r="DL25" s="928">
        <v>0</v>
      </c>
      <c r="DM25" s="928">
        <v>0</v>
      </c>
      <c r="DN25" s="928">
        <v>0</v>
      </c>
      <c r="DO25" s="928">
        <v>0</v>
      </c>
      <c r="DP25" s="928">
        <v>0</v>
      </c>
      <c r="DQ25" s="928">
        <v>0</v>
      </c>
      <c r="DR25" s="928">
        <v>0</v>
      </c>
      <c r="DS25" s="928">
        <v>0</v>
      </c>
      <c r="DT25" s="928">
        <v>0</v>
      </c>
      <c r="DU25" s="928">
        <v>0</v>
      </c>
      <c r="DV25" s="928">
        <v>0</v>
      </c>
      <c r="DW25" s="928">
        <v>0</v>
      </c>
      <c r="DX25" s="928">
        <v>0</v>
      </c>
      <c r="DY25" s="928">
        <v>0</v>
      </c>
      <c r="DZ25" s="928">
        <v>0</v>
      </c>
      <c r="EA25" s="928">
        <v>0</v>
      </c>
      <c r="EB25" s="928">
        <v>0</v>
      </c>
      <c r="EC25" s="928">
        <v>0</v>
      </c>
      <c r="ED25" s="928">
        <v>0</v>
      </c>
      <c r="EE25" s="928">
        <v>0</v>
      </c>
      <c r="EF25" s="928">
        <v>0</v>
      </c>
      <c r="EG25" s="928">
        <v>0</v>
      </c>
      <c r="EH25" s="928">
        <v>0</v>
      </c>
      <c r="EI25" s="928">
        <v>0</v>
      </c>
      <c r="EJ25" s="928">
        <v>0</v>
      </c>
      <c r="EK25" s="928">
        <v>0</v>
      </c>
      <c r="EL25" s="928">
        <v>0</v>
      </c>
      <c r="EM25" s="928">
        <v>0</v>
      </c>
      <c r="EN25" s="928">
        <v>0</v>
      </c>
      <c r="EO25" s="928">
        <v>0</v>
      </c>
      <c r="EP25" s="928">
        <v>0</v>
      </c>
      <c r="EQ25" s="928">
        <v>0</v>
      </c>
      <c r="ER25" s="928">
        <v>0</v>
      </c>
      <c r="ES25" s="928">
        <v>0</v>
      </c>
      <c r="ET25" s="928">
        <v>0</v>
      </c>
      <c r="EU25" s="928">
        <v>0</v>
      </c>
      <c r="EV25" s="928">
        <v>0</v>
      </c>
      <c r="EW25" s="928">
        <v>0</v>
      </c>
      <c r="EX25" s="928">
        <v>0</v>
      </c>
      <c r="EY25" s="928">
        <v>0</v>
      </c>
      <c r="EZ25" s="928">
        <v>0</v>
      </c>
      <c r="FA25" s="928">
        <v>0</v>
      </c>
      <c r="FB25" s="928">
        <v>0</v>
      </c>
      <c r="FC25" s="928">
        <v>0</v>
      </c>
      <c r="FD25" s="928">
        <v>0</v>
      </c>
      <c r="FE25" s="928">
        <v>0</v>
      </c>
      <c r="FF25" s="928">
        <v>0</v>
      </c>
      <c r="FG25" s="928">
        <v>0</v>
      </c>
      <c r="FH25" s="928">
        <v>0</v>
      </c>
      <c r="FI25" s="928">
        <v>0</v>
      </c>
      <c r="FJ25" s="928">
        <v>0</v>
      </c>
      <c r="FK25" s="928">
        <v>0</v>
      </c>
      <c r="FL25" s="928">
        <v>0</v>
      </c>
      <c r="FM25" s="928">
        <v>0</v>
      </c>
      <c r="FN25" s="928">
        <v>0</v>
      </c>
      <c r="FO25" s="928">
        <v>0</v>
      </c>
      <c r="FP25" s="928">
        <v>0</v>
      </c>
      <c r="FQ25" s="928">
        <v>0</v>
      </c>
      <c r="FR25" s="928">
        <v>0</v>
      </c>
      <c r="FS25" s="928">
        <v>0</v>
      </c>
      <c r="FT25" s="928">
        <v>0</v>
      </c>
      <c r="FU25" s="928">
        <v>0</v>
      </c>
      <c r="FV25" s="928">
        <v>0</v>
      </c>
      <c r="FW25" s="928">
        <v>0</v>
      </c>
      <c r="FX25" s="928">
        <v>8</v>
      </c>
      <c r="FY25" s="928">
        <v>8</v>
      </c>
      <c r="FZ25" s="928">
        <v>8</v>
      </c>
      <c r="GA25" s="928">
        <v>8</v>
      </c>
      <c r="GB25" s="928">
        <v>8</v>
      </c>
      <c r="GC25" s="928">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F5F0C4-2093-24C5-2859-AE47F13852BE}" mc:Ignorable="x14ac xr xr2 xr3">
  <sheetPr>
    <tabColor theme="2" tint="-0.1"/>
  </sheetPr>
  <dimension ref="A1:S23"/>
  <sheetViews>
    <sheetView showGridLines="0" zoomScale="90" workbookViewId="0" tabSelected="1">
      <pane xSplit="7" ySplit="14" topLeftCell="H15" activePane="bottomRight" state="frozen"/>
      <selection pane="bottomLeft" activeCell="A15" sqref="A15"/>
      <selection pane="topRight" activeCell="H1" sqref="H1"/>
      <selection pane="bottomRight" activeCell="H22" sqref="H22"/>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42.421875" hidden="1" customWidth="1"/>
    <col min="8" max="8" style="1637" width="40.7109375" customWidth="1"/>
    <col min="9" max="9" style="1368" width="93.00390625" customWidth="1"/>
    <col min="10" max="17" style="1637" width="10.00390625" customWidth="1"/>
    <col min="18" max="18" style="677" width="10.00390625" customWidth="1"/>
    <col min="19" max="19" style="1637" width="10.57421875" hidden="1"/>
  </cols>
  <sheetData>
    <row s="1368" customFormat="1" customHeight="1" ht="15" hidden="1">
      <c r="C1" s="674"/>
      <c r="H1" s="419">
        <v>4</v>
      </c>
      <c r="R1" s="422"/>
      <c r="S1" s="419" t="s">
        <v>14</v>
      </c>
    </row>
    <row customHeight="1" ht="22.5" hidden="1">
      <c r="C2" s="1930" t="s">
        <v>689</v>
      </c>
      <c r="D2" s="541"/>
      <c r="E2" s="665"/>
      <c r="F2" s="1763" t="str">
        <f>IF(TEMPLATE_SPHERE="HEAT","Гкал/час","тыс. куб. м/сутки")</f>
        <v>Гкал/час</v>
      </c>
      <c r="G2" s="682"/>
      <c r="H2" s="682"/>
      <c r="I2" s="291"/>
      <c r="S2" s="507">
        <v>0</v>
      </c>
    </row>
    <row s="1368" customFormat="1" customHeight="1" ht="15" hidden="1">
      <c r="C3" s="674"/>
      <c r="R3" s="422"/>
      <c r="S3" s="419">
        <v>0</v>
      </c>
    </row>
    <row customHeight="1" ht="15.75">
      <c r="C4" s="178"/>
      <c r="D4" s="511"/>
      <c r="E4" s="511"/>
      <c r="F4" s="511"/>
      <c r="G4" s="511"/>
      <c r="H4" s="511"/>
      <c r="S4" s="507">
        <v>15</v>
      </c>
    </row>
    <row customHeight="1" ht="39.75">
      <c r="C5" s="178"/>
      <c r="D5" s="2239"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9"/>
      <c r="F5" s="2239"/>
      <c r="G5" s="2239"/>
      <c r="H5" s="2239"/>
      <c r="I5" s="539"/>
      <c r="S5" s="507">
        <v>38</v>
      </c>
    </row>
    <row customHeight="1" ht="15.75">
      <c r="C6" s="178"/>
      <c r="D6" s="2178" t="str">
        <f>IF(org=0,"Не определено",org)</f>
        <v>ПАО "ТГК-2"</v>
      </c>
      <c r="E6" s="2178"/>
      <c r="F6" s="2178"/>
      <c r="G6" s="2178"/>
      <c r="H6" s="2178"/>
      <c r="I6" s="539"/>
      <c r="S6" s="507">
        <v>15</v>
      </c>
    </row>
    <row s="1637" customFormat="1" customHeight="1" ht="15.75">
      <c r="A7" s="761"/>
      <c r="C7" s="178"/>
      <c r="D7" s="678"/>
      <c r="E7" s="678"/>
      <c r="F7" s="678"/>
      <c r="G7" s="678"/>
      <c r="H7" s="754"/>
      <c r="I7" s="539"/>
      <c r="R7" s="677"/>
      <c r="S7" s="760">
        <v>15</v>
      </c>
    </row>
    <row customHeight="1" ht="1.05">
      <c r="C8" s="178"/>
      <c r="D8" s="511"/>
      <c r="E8" s="511"/>
      <c r="F8" s="511"/>
      <c r="G8" s="511"/>
      <c r="H8" s="539" t="s">
        <v>118</v>
      </c>
      <c r="S8" s="507">
        <v>1</v>
      </c>
    </row>
    <row customHeight="1" ht="15.75">
      <c r="C9" s="178"/>
      <c r="D9" s="713"/>
      <c r="E9" s="2369" t="s">
        <v>105</v>
      </c>
      <c r="F9" s="2370"/>
      <c r="G9" s="818" t="str">
        <f>IF(G8="","",INDEX(DIFFERENTIATION_UNMERGE_VD,MATCH(G8,DIFFERENTIATION_ID_DIFF,0)))</f>
        <v/>
      </c>
      <c r="H9" s="818" t="str">
        <f>IF(H8="","",INDEX(DIFFERENTIATION_UNMERGE_VD,MATCH(H8,DIFFERENTIATION_ID_DIFF,0)))</f>
        <v>Подключение (технологическое присоединение) к системе теплоснабжения</v>
      </c>
      <c r="I9" s="2129" t="s">
        <v>301</v>
      </c>
      <c r="S9" s="507">
        <v>15</v>
      </c>
    </row>
    <row s="1637" customFormat="1" customHeight="1" ht="15.75">
      <c r="A10" s="761"/>
      <c r="C10" s="178"/>
      <c r="D10" s="713"/>
      <c r="E10" s="2369" t="s">
        <v>564</v>
      </c>
      <c r="F10" s="2370"/>
      <c r="G10" s="818" t="str">
        <f>IF(G8="","",INDEX(DIFFERENTIATION_UNMERGE_AREA,MATCH(G8,DIFFERENTIATION_ID_DIFF,0)))</f>
        <v/>
      </c>
      <c r="H10" s="818" t="str">
        <f>IF(H8="","",INDEX(DIFFERENTIATION_UNMERGE_AREA,MATCH(H8,DIFFERENTIATION_ID_DIFF,0)))</f>
        <v>Территория 1</v>
      </c>
      <c r="I10" s="2129"/>
      <c r="R10" s="677"/>
      <c r="S10" s="760">
        <v>15</v>
      </c>
    </row>
    <row s="1637" customFormat="1" customHeight="1" ht="15.75">
      <c r="A11" s="761"/>
      <c r="C11" s="178"/>
      <c r="D11" s="713"/>
      <c r="E11" s="2369" t="s">
        <v>565</v>
      </c>
      <c r="F11" s="2370"/>
      <c r="G11" s="818" t="str">
        <f>IF(G8="","",INDEX(DIFFERENTIATION_UNMERGE_SYSTEM,MATCH(G8,DIFFERENTIATION_ID_DIFF,0)))</f>
        <v/>
      </c>
      <c r="H11" s="818" t="str">
        <f>IF(H8="","",INDEX(DIFFERENTIATION_UNMERGE_SYSTEM,MATCH(H8,DIFFERENTIATION_ID_DIFF,0)))</f>
        <v>Вологодская ТЭЦ</v>
      </c>
      <c r="I11" s="2129"/>
      <c r="R11" s="677"/>
      <c r="S11" s="760">
        <v>15</v>
      </c>
    </row>
    <row s="1637" customFormat="1" customHeight="1" ht="15.75">
      <c r="A12" s="761"/>
      <c r="C12" s="178"/>
      <c r="D12" s="2371" t="s">
        <v>300</v>
      </c>
      <c r="E12" s="2372"/>
      <c r="F12" s="2372"/>
      <c r="G12" s="889"/>
      <c r="H12" s="889"/>
      <c r="I12" s="2129"/>
      <c r="R12" s="677"/>
      <c r="S12" s="760">
        <v>15</v>
      </c>
    </row>
    <row customHeight="1" ht="35.699999999999996">
      <c r="C13" s="178"/>
      <c r="D13" s="763" t="s">
        <v>88</v>
      </c>
      <c r="E13" s="762" t="s">
        <v>302</v>
      </c>
      <c r="F13" s="762" t="s">
        <v>566</v>
      </c>
      <c r="G13" s="810" t="s">
        <v>303</v>
      </c>
      <c r="H13" s="756" t="s">
        <v>303</v>
      </c>
      <c r="I13" s="2129"/>
      <c r="S13" s="507">
        <v>34</v>
      </c>
    </row>
    <row customHeight="1" ht="15" hidden="1">
      <c r="C14" s="178"/>
      <c r="D14" s="595" t="s">
        <v>109</v>
      </c>
      <c r="E14" s="595" t="s">
        <v>110</v>
      </c>
      <c r="F14" s="595" t="s">
        <v>90</v>
      </c>
      <c r="G14" s="661" t="str">
        <f>G1&amp;".1"</f>
        <v>.1</v>
      </c>
      <c r="H14" s="661" t="str">
        <f>H1&amp;".1"</f>
        <v>4.1</v>
      </c>
      <c r="I14" s="291"/>
      <c r="S14" s="507">
        <v>0</v>
      </c>
    </row>
    <row customHeight="1" ht="15.75">
      <c r="A15" s="507"/>
      <c r="C15" s="528"/>
      <c r="D15" s="523">
        <v>1</v>
      </c>
      <c r="E15" s="1932" t="str">
        <f>TP_P_A</f>
        <v>Количество поданных заявок</v>
      </c>
      <c r="F15" s="523" t="s">
        <v>1116</v>
      </c>
      <c r="G15" s="687"/>
      <c r="H15" s="687">
        <v>2</v>
      </c>
      <c r="I15" s="210"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7">
        <v>15</v>
      </c>
    </row>
    <row customHeight="1" ht="15.75">
      <c r="A16" s="507"/>
      <c r="C16" s="528"/>
      <c r="D16" s="523">
        <v>2</v>
      </c>
      <c r="E16" s="1932" t="str">
        <f>TP_P_B</f>
        <v>Количество рассмотренных заявок</v>
      </c>
      <c r="F16" s="523" t="s">
        <v>1116</v>
      </c>
      <c r="G16" s="687"/>
      <c r="H16" s="687">
        <v>2</v>
      </c>
      <c r="I16" s="210"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7">
        <v>15</v>
      </c>
    </row>
    <row customHeight="1" ht="77.7">
      <c r="A17" s="507"/>
      <c r="C17" s="528"/>
      <c r="D17" s="523">
        <v>3</v>
      </c>
      <c r="E17" s="193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3" t="s">
        <v>1116</v>
      </c>
      <c r="G17" s="687"/>
      <c r="H17" s="687">
        <v>0</v>
      </c>
      <c r="I17" s="210" t="str">
        <f>TP_P_NOTE_V</f>
        <v>Указывается количество заявок с решением об отказе в течение отчетного квартала.</v>
      </c>
      <c r="S17" s="507">
        <v>74</v>
      </c>
    </row>
    <row customHeight="1" ht="54.75">
      <c r="A18" s="507"/>
      <c r="C18" s="528"/>
      <c r="D18" s="523">
        <v>4</v>
      </c>
      <c r="E18" s="1932" t="str">
        <f>TP_P_V_1</f>
        <v>Причины отказа в заключении договора о подключении (технологическом присоединении) к системе теплоснабжения</v>
      </c>
      <c r="F18" s="523" t="s">
        <v>306</v>
      </c>
      <c r="G18" s="688"/>
      <c r="H18" s="688" t="s">
        <v>766</v>
      </c>
      <c r="I18" s="840"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7">
        <v>52</v>
      </c>
    </row>
    <row customHeight="1" ht="60">
      <c r="A19" s="507"/>
      <c r="C19" s="528"/>
      <c r="D19" s="523">
        <v>5</v>
      </c>
      <c r="E19" s="1932" t="str">
        <f>TP_P_G</f>
        <v>Резерв мощности источников тепловой энергии, входящих в систему теплоснабжения, в течение одного квартала, в том числе:</v>
      </c>
      <c r="F19" s="523" t="str">
        <f>IF(TEMPLATE_SPHERE="HEAT","Гкал/час","тыс. куб. м/сутки")</f>
        <v>Гкал/час</v>
      </c>
      <c r="G19" s="689">
        <f>SUM(G20:G22)</f>
        <v>0</v>
      </c>
      <c r="H19" s="689">
        <f>SUM(H20:H22)</f>
        <v>43.4</v>
      </c>
      <c r="I19" s="210"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7">
        <v>57</v>
      </c>
    </row>
    <row customHeight="1" ht="15" hidden="1">
      <c r="D20" s="511" t="s">
        <v>1117</v>
      </c>
      <c r="E20" s="690"/>
      <c r="F20" s="511"/>
      <c r="G20" s="511"/>
      <c r="H20" s="511"/>
      <c r="I20" s="1765"/>
      <c r="S20" s="507">
        <v>0</v>
      </c>
    </row>
    <row customHeight="1" ht="29.25">
      <c r="C21" s="453"/>
      <c r="D21" s="541" t="s">
        <v>313</v>
      </c>
      <c r="E21" s="672" t="s">
        <v>1118</v>
      </c>
      <c r="F21" s="1763" t="str">
        <f>IF(TEMPLATE_SPHERE="HEAT","Гкал/час","тыс. куб. м/сутки")</f>
        <v>Гкал/час</v>
      </c>
      <c r="G21" s="682"/>
      <c r="H21" s="682">
        <v>43.4</v>
      </c>
      <c r="I21" s="2171"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7">
        <v>28</v>
      </c>
    </row>
    <row customHeight="1" ht="15.75">
      <c r="A22" s="507"/>
      <c r="C22" s="507"/>
      <c r="D22" s="349"/>
      <c r="E22" s="582" t="s">
        <v>1119</v>
      </c>
      <c r="F22" s="574"/>
      <c r="G22" s="574"/>
      <c r="H22" s="574"/>
      <c r="I22" s="2173"/>
      <c r="R22" s="507"/>
      <c r="S22" s="507">
        <v>15</v>
      </c>
    </row>
    <row customHeight="1" ht="22.5" hidden="1">
      <c r="A23" s="451" t="s">
        <v>82</v>
      </c>
      <c r="B23" s="507">
        <v>0</v>
      </c>
      <c r="C23" s="685">
        <v>4</v>
      </c>
      <c r="D23" s="507">
        <v>6</v>
      </c>
      <c r="E23" s="507">
        <v>36</v>
      </c>
      <c r="F23" s="507">
        <v>9</v>
      </c>
      <c r="G23" s="760">
        <v>0</v>
      </c>
      <c r="H23" s="507">
        <v>40</v>
      </c>
      <c r="I23" s="419">
        <v>93</v>
      </c>
      <c r="J23" s="507">
        <v>10</v>
      </c>
      <c r="K23" s="507">
        <v>10</v>
      </c>
      <c r="L23" s="507">
        <v>10</v>
      </c>
      <c r="M23" s="507">
        <v>10</v>
      </c>
      <c r="N23" s="507">
        <v>10</v>
      </c>
      <c r="O23" s="507">
        <v>10</v>
      </c>
      <c r="P23" s="507">
        <v>10</v>
      </c>
      <c r="Q23" s="507">
        <v>10</v>
      </c>
      <c r="R23" s="677">
        <v>10</v>
      </c>
      <c r="S23" s="507">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C506CA-E5EA-B6EA-CBFF-6FE8656D72CE}"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6" style="1637" width="64.00390625" customWidth="1"/>
    <col min="7" max="7" style="1637" width="140.00390625" customWidth="1"/>
    <col min="8" max="8" style="1637" width="10.00390625" customWidth="1"/>
    <col min="9" max="10" style="1626" width="10.00390625" customWidth="1"/>
    <col min="11" max="16" style="1637" width="10.00390625" customWidth="1"/>
    <col min="17" max="17" style="1637" width="10.57421875" hidden="1"/>
  </cols>
  <sheetData>
    <row customHeight="1" ht="22.5" hidden="1">
      <c r="M1" s="257"/>
      <c r="N1" s="257"/>
      <c r="P1" s="257"/>
      <c r="Q1" s="85" t="s">
        <v>14</v>
      </c>
    </row>
    <row customHeight="1" ht="14.25" hidden="1">
      <c r="Q2" s="85">
        <v>0</v>
      </c>
    </row>
    <row customHeight="1" ht="14.25" hidden="1">
      <c r="Q3" s="85">
        <v>0</v>
      </c>
    </row>
    <row customHeight="1" ht="3">
      <c r="C4" s="98"/>
      <c r="D4" s="86"/>
      <c r="E4" s="86"/>
      <c r="F4" s="87"/>
      <c r="G4" s="87"/>
      <c r="Q4" s="85">
        <v>3</v>
      </c>
    </row>
    <row customHeight="1" ht="29.25">
      <c r="C5" s="98"/>
      <c r="D5" s="245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7"/>
      <c r="F5" s="2457"/>
      <c r="G5" s="2458"/>
      <c r="Q5" s="85">
        <v>28</v>
      </c>
    </row>
    <row s="1637" customFormat="1" customHeight="1" ht="18.75">
      <c r="A6" s="884"/>
      <c r="B6" s="419"/>
      <c r="C6" s="378"/>
      <c r="D6" s="2459" t="str">
        <f>IF(org=0,"Не определено",org)</f>
        <v>ПАО "ТГК-2"</v>
      </c>
      <c r="E6" s="2460"/>
      <c r="F6" s="2460"/>
      <c r="G6" s="2461"/>
      <c r="I6" s="502"/>
      <c r="J6" s="502"/>
      <c r="Q6" s="760">
        <v>18</v>
      </c>
    </row>
    <row customHeight="1" ht="14.699999999999998">
      <c r="C7" s="98"/>
      <c r="D7" s="86"/>
      <c r="E7" s="97"/>
      <c r="F7" s="754"/>
      <c r="G7" s="195"/>
      <c r="Q7" s="85">
        <v>14</v>
      </c>
    </row>
    <row s="1637" customFormat="1" customHeight="1" ht="1.05">
      <c r="A8" s="1671"/>
      <c r="B8" s="1162"/>
      <c r="C8" s="378"/>
      <c r="D8" s="365"/>
      <c r="E8" s="391"/>
      <c r="F8" s="754"/>
      <c r="G8" s="195"/>
      <c r="I8" s="1626"/>
      <c r="J8" s="1626"/>
      <c r="Q8" s="1633">
        <v>1</v>
      </c>
    </row>
    <row customHeight="1" ht="14.699999999999998">
      <c r="C9" s="98"/>
      <c r="D9" s="2211" t="s">
        <v>300</v>
      </c>
      <c r="E9" s="2211"/>
      <c r="F9" s="2211"/>
      <c r="G9" s="2391" t="s">
        <v>301</v>
      </c>
      <c r="Q9" s="85">
        <v>14</v>
      </c>
    </row>
    <row customHeight="1" ht="24">
      <c r="C10" s="98"/>
      <c r="D10" s="107" t="s">
        <v>88</v>
      </c>
      <c r="E10" s="110" t="s">
        <v>302</v>
      </c>
      <c r="F10" s="110" t="s">
        <v>390</v>
      </c>
      <c r="G10" s="2391"/>
      <c r="Q10" s="85">
        <v>23</v>
      </c>
    </row>
    <row customHeight="1" ht="12" hidden="1">
      <c r="C11" s="98"/>
      <c r="D11" s="89"/>
      <c r="E11" s="89"/>
      <c r="F11" s="89"/>
      <c r="G11" s="89"/>
      <c r="Q11" s="85">
        <v>0</v>
      </c>
    </row>
    <row customHeight="1" ht="65.25">
      <c r="A12" s="194"/>
      <c r="C12" s="98"/>
      <c r="D12" s="149">
        <v>1</v>
      </c>
      <c r="E12" s="199"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0" t="s">
        <v>306</v>
      </c>
      <c r="G12" s="153"/>
      <c r="Q12" s="85">
        <v>62</v>
      </c>
    </row>
    <row customHeight="1" ht="24">
      <c r="A13" s="194"/>
      <c r="C13" s="98"/>
      <c r="D13" s="149" t="s">
        <v>1023</v>
      </c>
      <c r="E13" s="196"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0" t="s">
        <v>306</v>
      </c>
      <c r="G13" s="153"/>
      <c r="Q13" s="85">
        <v>23</v>
      </c>
    </row>
    <row customHeight="1" ht="14.699999999999998">
      <c r="A14" s="194"/>
      <c r="C14" s="98"/>
      <c r="D14" s="149" t="s">
        <v>1059</v>
      </c>
      <c r="E14" s="197"/>
      <c r="F14" s="215"/>
      <c r="G14" s="217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5">
        <v>14</v>
      </c>
    </row>
    <row customHeight="1" ht="15.75">
      <c r="A15" s="194"/>
      <c r="C15" s="98"/>
      <c r="D15" s="111"/>
      <c r="E15" s="351" t="s">
        <v>1120</v>
      </c>
      <c r="F15" s="203"/>
      <c r="G15" s="2173"/>
      <c r="Q15" s="85">
        <v>15</v>
      </c>
    </row>
    <row customHeight="1" ht="14.699999999999998">
      <c r="A16" s="194"/>
      <c r="C16" s="98"/>
      <c r="D16" s="149" t="s">
        <v>1025</v>
      </c>
      <c r="E16" s="196"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0" t="s">
        <v>306</v>
      </c>
      <c r="G16" s="339"/>
      <c r="Q16" s="85">
        <v>14</v>
      </c>
    </row>
    <row customHeight="1" ht="14.699999999999998">
      <c r="A17" s="194"/>
      <c r="C17" s="98"/>
      <c r="D17" s="149" t="s">
        <v>1067</v>
      </c>
      <c r="E17" s="197"/>
      <c r="F17" s="387"/>
      <c r="G17" s="217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5">
        <v>14</v>
      </c>
    </row>
    <row s="1637" customFormat="1" customHeight="1" ht="22.049999999999997">
      <c r="A18" s="345"/>
      <c r="B18" s="148"/>
      <c r="C18" s="309"/>
      <c r="D18" s="349"/>
      <c r="E18" s="351" t="s">
        <v>1121</v>
      </c>
      <c r="F18" s="340"/>
      <c r="G18" s="2173"/>
      <c r="I18" s="352"/>
      <c r="J18" s="352"/>
      <c r="Q18" s="344">
        <v>21</v>
      </c>
    </row>
    <row s="1637" customFormat="1" customHeight="1" ht="256.5" hidden="1">
      <c r="A19" s="345"/>
      <c r="B19" s="419"/>
      <c r="C19" s="378"/>
      <c r="D19" s="886" t="s">
        <v>1027</v>
      </c>
      <c r="E19" s="885" t="s">
        <v>1122</v>
      </c>
      <c r="F19" s="387"/>
      <c r="G19" s="339" t="s">
        <v>1123</v>
      </c>
      <c r="I19" s="502"/>
      <c r="J19" s="502"/>
      <c r="Q19" s="760">
        <v>0</v>
      </c>
    </row>
    <row s="1637" customFormat="1" customHeight="1" ht="14.699999999999998">
      <c r="A20" s="345"/>
      <c r="B20" s="148"/>
      <c r="C20" s="309"/>
      <c r="D20" s="887">
        <v>2</v>
      </c>
      <c r="E20" s="332" t="s">
        <v>1124</v>
      </c>
      <c r="F20" s="200" t="s">
        <v>306</v>
      </c>
      <c r="G20" s="339"/>
      <c r="I20" s="352"/>
      <c r="J20" s="352"/>
      <c r="Q20" s="344">
        <v>14</v>
      </c>
    </row>
    <row s="1637" customFormat="1" customHeight="1" ht="18.75" hidden="1">
      <c r="A21" s="345"/>
      <c r="B21" s="148"/>
      <c r="C21" s="309"/>
      <c r="D21" s="335" t="s">
        <v>636</v>
      </c>
      <c r="E21" s="334"/>
      <c r="F21" s="333"/>
      <c r="G21" s="343"/>
      <c r="H21" s="336"/>
      <c r="I21" s="352"/>
      <c r="J21" s="352"/>
      <c r="Q21" s="344">
        <v>0</v>
      </c>
    </row>
    <row customHeight="1" ht="15.75">
      <c r="A22" s="194"/>
      <c r="C22" s="98"/>
      <c r="D22" s="111"/>
      <c r="E22" s="205" t="s">
        <v>322</v>
      </c>
      <c r="F22" s="340"/>
      <c r="G22" s="341"/>
      <c r="Q22" s="85">
        <v>15</v>
      </c>
    </row>
    <row s="1637" customFormat="1" customHeight="1" ht="22.5" hidden="1">
      <c r="A23" s="345"/>
      <c r="B23" s="1162"/>
      <c r="C23" s="378"/>
      <c r="D23" s="1675" t="s">
        <v>110</v>
      </c>
      <c r="E23" s="199" t="s">
        <v>1125</v>
      </c>
      <c r="F23" s="1672" t="s">
        <v>306</v>
      </c>
      <c r="G23" s="347"/>
      <c r="I23" s="1626"/>
      <c r="J23" s="1626"/>
      <c r="Q23" s="1633">
        <v>0</v>
      </c>
    </row>
    <row s="1637" customFormat="1" customHeight="1" ht="14.25" hidden="1">
      <c r="A24" s="345"/>
      <c r="B24" s="1162"/>
      <c r="C24" s="378"/>
      <c r="D24" s="1675" t="s">
        <v>709</v>
      </c>
      <c r="E24" s="1674" t="s">
        <v>1126</v>
      </c>
      <c r="F24" s="1672" t="s">
        <v>306</v>
      </c>
      <c r="G24" s="339"/>
      <c r="I24" s="1626"/>
      <c r="J24" s="1626"/>
      <c r="Q24" s="1633">
        <v>0</v>
      </c>
    </row>
    <row s="1637" customFormat="1" customHeight="1" ht="14.25" hidden="1">
      <c r="A25" s="345"/>
      <c r="B25" s="1162"/>
      <c r="C25" s="378"/>
      <c r="D25" s="1675" t="s">
        <v>712</v>
      </c>
      <c r="E25" s="197"/>
      <c r="F25" s="387"/>
      <c r="G25" s="2171" t="s">
        <v>1127</v>
      </c>
      <c r="I25" s="1626"/>
      <c r="J25" s="1626"/>
      <c r="Q25" s="1633">
        <v>0</v>
      </c>
    </row>
    <row s="1637" customFormat="1" customHeight="1" ht="22.5" hidden="1">
      <c r="A26" s="345"/>
      <c r="B26" s="1162"/>
      <c r="C26" s="378"/>
      <c r="D26" s="349"/>
      <c r="E26" s="351" t="s">
        <v>1128</v>
      </c>
      <c r="F26" s="340"/>
      <c r="G26" s="2173"/>
      <c r="I26" s="1626"/>
      <c r="J26" s="1626"/>
      <c r="Q26" s="1633">
        <v>0</v>
      </c>
    </row>
    <row customHeight="1" ht="3">
      <c r="Q27" s="85">
        <v>3</v>
      </c>
    </row>
    <row customHeight="1" ht="14.699999999999998">
      <c r="D28" s="338"/>
      <c r="E28" s="337"/>
      <c r="F28" s="317"/>
      <c r="G28" s="317"/>
      <c r="H28" s="317"/>
      <c r="I28" s="317"/>
      <c r="J28" s="317"/>
      <c r="K28" s="317"/>
      <c r="L28" s="317"/>
      <c r="M28" s="317"/>
      <c r="N28" s="317"/>
      <c r="O28" s="317"/>
      <c r="P28" s="317"/>
      <c r="Q28" s="85">
        <v>14</v>
      </c>
    </row>
    <row customHeight="1" ht="14.699999999999998">
      <c r="D29" s="338"/>
      <c r="E29" s="584"/>
      <c r="Q29" s="85">
        <v>14</v>
      </c>
    </row>
    <row customHeight="1" ht="14.699999999999998">
      <c r="Q30" s="85">
        <v>14</v>
      </c>
    </row>
    <row customHeight="1" ht="14.699999999999998">
      <c r="E31" s="760"/>
      <c r="Q31" s="85">
        <v>14</v>
      </c>
    </row>
    <row customHeight="1" ht="22.5" hidden="1">
      <c r="A32" s="103" t="s">
        <v>82</v>
      </c>
      <c r="B32" s="148">
        <v>0</v>
      </c>
      <c r="C32" s="99">
        <v>3</v>
      </c>
      <c r="D32" s="85">
        <v>6</v>
      </c>
      <c r="E32" s="85">
        <v>64</v>
      </c>
      <c r="F32" s="85">
        <v>64</v>
      </c>
      <c r="G32" s="85">
        <v>140</v>
      </c>
      <c r="H32" s="85">
        <v>10</v>
      </c>
      <c r="I32" s="157">
        <v>10</v>
      </c>
      <c r="J32" s="157">
        <v>10</v>
      </c>
      <c r="K32" s="85">
        <v>10</v>
      </c>
      <c r="L32" s="85">
        <v>10</v>
      </c>
      <c r="M32" s="85">
        <v>10</v>
      </c>
      <c r="N32" s="85">
        <v>10</v>
      </c>
      <c r="O32" s="85">
        <v>10</v>
      </c>
      <c r="P32" s="85">
        <v>10</v>
      </c>
      <c r="Q32" s="85">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EE2A58-3D0A-96A1-E8B3-8489D1DC9FF8}"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8" width="9.140625" hidden="1" customWidth="1"/>
    <col min="2" max="2" style="1368" width="9.140625" hidden="1" customWidth="1"/>
    <col min="3" max="3" style="346" width="3.00390625" customWidth="1"/>
    <col min="4" max="4" style="1637" width="6.00390625" customWidth="1"/>
    <col min="5" max="5" style="1637" width="63.00390625" customWidth="1"/>
    <col min="6" max="6" style="1637" width="1.7109375" hidden="1" customWidth="1"/>
    <col min="7" max="8" style="1637" width="35.00390625" customWidth="1"/>
    <col min="9" max="9" style="1637" width="91.00390625" customWidth="1"/>
    <col min="10" max="10" style="1637" width="68.00390625" customWidth="1"/>
    <col min="11" max="12" style="1626" width="10.00390625" customWidth="1"/>
    <col min="13" max="13" style="1637" width="10.57421875" hidden="1"/>
  </cols>
  <sheetData>
    <row customHeight="1" ht="22.5" hidden="1">
      <c r="M1" s="85" t="s">
        <v>14</v>
      </c>
    </row>
    <row s="1637" customFormat="1" customHeight="1" ht="18.75" hidden="1">
      <c r="A2" s="1685"/>
      <c r="B2" s="1162"/>
      <c r="C2" s="1732" t="s">
        <v>689</v>
      </c>
      <c r="D2" s="1675"/>
      <c r="E2" s="201"/>
      <c r="F2" s="1672"/>
      <c r="G2" s="1672" t="s">
        <v>306</v>
      </c>
      <c r="H2" s="1163"/>
      <c r="K2" s="1626"/>
      <c r="L2" s="1626"/>
      <c r="M2" s="1633">
        <v>0</v>
      </c>
    </row>
    <row s="1637" customFormat="1" customHeight="1" ht="14.25" hidden="1">
      <c r="A3" s="1364"/>
      <c r="B3" s="1162"/>
      <c r="C3" s="346"/>
      <c r="K3" s="1626"/>
      <c r="L3" s="1626"/>
      <c r="M3" s="1633">
        <v>0</v>
      </c>
    </row>
    <row s="1637" customFormat="1" customHeight="1" ht="18.75" hidden="1">
      <c r="A4" s="1685"/>
      <c r="B4" s="1162"/>
      <c r="C4" s="1732" t="s">
        <v>689</v>
      </c>
      <c r="D4" s="1675"/>
      <c r="E4" s="207" t="s">
        <v>1129</v>
      </c>
      <c r="F4" s="1672"/>
      <c r="G4" s="259"/>
      <c r="H4" s="1672" t="s">
        <v>306</v>
      </c>
      <c r="K4" s="1626"/>
      <c r="L4" s="1626"/>
      <c r="M4" s="1633">
        <v>0</v>
      </c>
    </row>
    <row s="1637" customFormat="1" customHeight="1" ht="14.25" hidden="1">
      <c r="A5" s="1364"/>
      <c r="B5" s="1162"/>
      <c r="C5" s="346"/>
      <c r="K5" s="1626"/>
      <c r="L5" s="1626"/>
      <c r="M5" s="1633">
        <v>0</v>
      </c>
    </row>
    <row s="1637" customFormat="1" customHeight="1" ht="18.75" hidden="1">
      <c r="A6" s="1685"/>
      <c r="B6" s="1162"/>
      <c r="C6" s="1732" t="s">
        <v>689</v>
      </c>
      <c r="D6" s="1675"/>
      <c r="E6" s="208" t="s">
        <v>1130</v>
      </c>
      <c r="F6" s="1672"/>
      <c r="G6" s="259"/>
      <c r="H6" s="1672" t="s">
        <v>306</v>
      </c>
      <c r="K6" s="1626"/>
      <c r="L6" s="1626"/>
      <c r="M6" s="1633">
        <v>0</v>
      </c>
    </row>
    <row s="1637" customFormat="1" customHeight="1" ht="14.25" hidden="1">
      <c r="A7" s="1364"/>
      <c r="B7" s="1162"/>
      <c r="C7" s="346"/>
      <c r="K7" s="1626"/>
      <c r="L7" s="1626"/>
      <c r="M7" s="1633">
        <v>0</v>
      </c>
    </row>
    <row s="1637" customFormat="1" customHeight="1" ht="18.75" hidden="1">
      <c r="A8" s="1685"/>
      <c r="B8" s="1162"/>
      <c r="C8" s="1732" t="s">
        <v>689</v>
      </c>
      <c r="D8" s="1675"/>
      <c r="E8" s="208" t="s">
        <v>1131</v>
      </c>
      <c r="F8" s="1672"/>
      <c r="G8" s="259"/>
      <c r="H8" s="1672" t="s">
        <v>306</v>
      </c>
      <c r="K8" s="1626"/>
      <c r="L8" s="1626"/>
      <c r="M8" s="1633">
        <v>0</v>
      </c>
    </row>
    <row s="1637" customFormat="1" customHeight="1" ht="14.25" hidden="1">
      <c r="A9" s="1364"/>
      <c r="B9" s="1162"/>
      <c r="C9" s="346"/>
      <c r="K9" s="1626"/>
      <c r="L9" s="1626"/>
      <c r="M9" s="1633">
        <v>0</v>
      </c>
    </row>
    <row s="1637" customFormat="1" customHeight="1" ht="18.75" hidden="1">
      <c r="A10" s="1685"/>
      <c r="B10" s="1162"/>
      <c r="C10" s="1732" t="s">
        <v>689</v>
      </c>
      <c r="D10" s="1675"/>
      <c r="E10" s="208" t="s">
        <v>1132</v>
      </c>
      <c r="F10" s="1672"/>
      <c r="G10" s="1676"/>
      <c r="H10" s="1672" t="s">
        <v>306</v>
      </c>
      <c r="K10" s="1626"/>
      <c r="L10" s="1626" t="s">
        <v>1133</v>
      </c>
      <c r="M10" s="1633">
        <v>0</v>
      </c>
    </row>
    <row customHeight="1" ht="14.25" hidden="1">
      <c r="M11" s="85">
        <v>0</v>
      </c>
    </row>
    <row customHeight="1" ht="14.25" hidden="1">
      <c r="M12" s="85">
        <v>0</v>
      </c>
    </row>
    <row customHeight="1" ht="14.699999999999998">
      <c r="C13" s="98"/>
      <c r="D13" s="86"/>
      <c r="E13" s="86"/>
      <c r="F13" s="86"/>
      <c r="G13" s="86"/>
      <c r="H13" s="87"/>
      <c r="I13" s="87"/>
      <c r="M13" s="85">
        <v>14</v>
      </c>
    </row>
    <row customHeight="1" ht="29.25">
      <c r="C14" s="98"/>
      <c r="D14" s="245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7"/>
      <c r="F14" s="2457"/>
      <c r="G14" s="2457"/>
      <c r="H14" s="2458"/>
      <c r="J14" s="1633"/>
      <c r="M14" s="85">
        <v>28</v>
      </c>
    </row>
    <row s="1637" customFormat="1" customHeight="1" ht="14.699999999999998">
      <c r="A15" s="1364"/>
      <c r="B15" s="1162"/>
      <c r="C15" s="378"/>
      <c r="D15" s="2459" t="str">
        <f>IF(org=0,"Не определено",org)</f>
        <v>ПАО "ТГК-2"</v>
      </c>
      <c r="E15" s="2460"/>
      <c r="F15" s="2460"/>
      <c r="G15" s="2460"/>
      <c r="H15" s="2461"/>
      <c r="J15" s="854"/>
      <c r="K15" s="1626"/>
      <c r="L15" s="1626"/>
      <c r="M15" s="1633">
        <v>14</v>
      </c>
    </row>
    <row customHeight="1" ht="14.699999999999998">
      <c r="C16" s="98"/>
      <c r="D16" s="86"/>
      <c r="E16" s="97"/>
      <c r="F16" s="97"/>
      <c r="G16" s="97"/>
      <c r="H16" s="754"/>
      <c r="I16" s="195"/>
      <c r="M16" s="85">
        <v>14</v>
      </c>
    </row>
    <row s="1637" customFormat="1" customHeight="1" ht="14.25" hidden="1">
      <c r="A17" s="1364"/>
      <c r="B17" s="1162"/>
      <c r="C17" s="378"/>
      <c r="D17" s="365"/>
      <c r="E17" s="391"/>
      <c r="F17" s="391"/>
      <c r="G17" s="391"/>
      <c r="H17" s="754"/>
      <c r="I17" s="195"/>
      <c r="K17" s="1626"/>
      <c r="L17" s="1626"/>
      <c r="M17" s="1633">
        <v>0</v>
      </c>
    </row>
    <row customHeight="1" ht="22.049999999999997">
      <c r="C18" s="98"/>
      <c r="D18" s="2211" t="s">
        <v>300</v>
      </c>
      <c r="E18" s="2211"/>
      <c r="F18" s="2211"/>
      <c r="G18" s="2211"/>
      <c r="H18" s="2211"/>
      <c r="I18" s="2391" t="s">
        <v>301</v>
      </c>
      <c r="M18" s="85">
        <v>21</v>
      </c>
    </row>
    <row customHeight="1" ht="22.049999999999997">
      <c r="C19" s="98"/>
      <c r="D19" s="107" t="s">
        <v>88</v>
      </c>
      <c r="E19" s="110" t="s">
        <v>302</v>
      </c>
      <c r="F19" s="110"/>
      <c r="G19" s="110" t="s">
        <v>303</v>
      </c>
      <c r="H19" s="110" t="s">
        <v>390</v>
      </c>
      <c r="I19" s="2391"/>
      <c r="M19" s="85">
        <v>21</v>
      </c>
    </row>
    <row customHeight="1" ht="12" hidden="1">
      <c r="C20" s="98"/>
      <c r="D20" s="89"/>
      <c r="E20" s="89"/>
      <c r="F20" s="89"/>
      <c r="G20" s="89"/>
      <c r="H20" s="89"/>
      <c r="I20" s="89"/>
      <c r="M20" s="85">
        <v>0</v>
      </c>
    </row>
    <row customHeight="1" ht="14.699999999999998">
      <c r="A21" s="1685"/>
      <c r="C21" s="98"/>
      <c r="D21" s="149">
        <v>1</v>
      </c>
      <c r="E21" s="2463" t="s">
        <v>1134</v>
      </c>
      <c r="F21" s="2463"/>
      <c r="G21" s="2463"/>
      <c r="H21" s="2463"/>
      <c r="I21" s="210"/>
      <c r="M21" s="85">
        <v>14</v>
      </c>
    </row>
    <row customHeight="1" ht="21">
      <c r="A22" s="1685"/>
      <c r="C22" s="98"/>
      <c r="D22" s="149" t="s">
        <v>1023</v>
      </c>
      <c r="E22" s="196" t="s">
        <v>1135</v>
      </c>
      <c r="F22" s="200"/>
      <c r="G22" s="1739"/>
      <c r="H22" s="200" t="s">
        <v>306</v>
      </c>
      <c r="I22" s="153" t="s">
        <v>1136</v>
      </c>
      <c r="M22" s="85">
        <v>20</v>
      </c>
    </row>
    <row customHeight="1" ht="60">
      <c r="A23" s="1685"/>
      <c r="C23" s="98"/>
      <c r="D23" s="149" t="s">
        <v>1025</v>
      </c>
      <c r="E23" s="196" t="s">
        <v>1137</v>
      </c>
      <c r="F23" s="200"/>
      <c r="G23" s="259"/>
      <c r="H23" s="215"/>
      <c r="I23" s="260" t="s">
        <v>1138</v>
      </c>
      <c r="M23" s="85">
        <v>57</v>
      </c>
    </row>
    <row customHeight="1" ht="14.699999999999998">
      <c r="A24" s="1685"/>
      <c r="B24" s="148">
        <v>3</v>
      </c>
      <c r="C24" s="98"/>
      <c r="D24" s="149">
        <v>2</v>
      </c>
      <c r="E24" s="224"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0"/>
      <c r="G24" s="200" t="s">
        <v>306</v>
      </c>
      <c r="H24" s="215"/>
      <c r="I24" s="261" t="s">
        <v>631</v>
      </c>
      <c r="M24" s="85">
        <v>14</v>
      </c>
    </row>
    <row customHeight="1" ht="48.29999999999999">
      <c r="A25" s="1685"/>
      <c r="C25" s="98"/>
      <c r="D25" s="149">
        <v>3</v>
      </c>
      <c r="E25" s="246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2"/>
      <c r="G25" s="2462"/>
      <c r="H25" s="2462"/>
      <c r="I25" s="258"/>
      <c r="M25" s="85">
        <v>46</v>
      </c>
    </row>
    <row customHeight="1" ht="14.699999999999998">
      <c r="A26" s="1685"/>
      <c r="C26" s="98"/>
      <c r="D26" s="149" t="s">
        <v>324</v>
      </c>
      <c r="E26" s="201"/>
      <c r="F26" s="200"/>
      <c r="G26" s="200" t="s">
        <v>306</v>
      </c>
      <c r="H26" s="215"/>
      <c r="I26" s="2171" t="s">
        <v>1139</v>
      </c>
      <c r="M26" s="85">
        <v>14</v>
      </c>
    </row>
    <row customHeight="1" ht="15.75">
      <c r="A27" s="1685" t="s">
        <v>109</v>
      </c>
      <c r="C27" s="98"/>
      <c r="D27" s="111"/>
      <c r="E27" s="205" t="s">
        <v>322</v>
      </c>
      <c r="F27" s="206"/>
      <c r="G27" s="206"/>
      <c r="H27" s="203"/>
      <c r="I27" s="2173"/>
      <c r="M27" s="85">
        <v>15</v>
      </c>
    </row>
    <row customHeight="1" ht="39.75">
      <c r="A28" s="1685"/>
      <c r="B28" s="148">
        <v>3</v>
      </c>
      <c r="C28" s="98"/>
      <c r="D28" s="149">
        <v>4</v>
      </c>
      <c r="E28" s="246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2"/>
      <c r="G28" s="2462"/>
      <c r="H28" s="2462"/>
      <c r="I28" s="258"/>
      <c r="M28" s="85">
        <v>38</v>
      </c>
    </row>
    <row customHeight="1" ht="21">
      <c r="A29" s="1685"/>
      <c r="C29" s="98"/>
      <c r="D29" s="149" t="s">
        <v>754</v>
      </c>
      <c r="E29" s="207" t="s">
        <v>1129</v>
      </c>
      <c r="F29" s="200"/>
      <c r="G29" s="259"/>
      <c r="H29" s="200" t="s">
        <v>306</v>
      </c>
      <c r="I29" s="2171" t="s">
        <v>1140</v>
      </c>
      <c r="M29" s="85">
        <v>20</v>
      </c>
    </row>
    <row customHeight="1" ht="15.75">
      <c r="A30" s="1685" t="s">
        <v>110</v>
      </c>
      <c r="C30" s="98"/>
      <c r="D30" s="111"/>
      <c r="E30" s="205" t="s">
        <v>322</v>
      </c>
      <c r="F30" s="206"/>
      <c r="G30" s="206"/>
      <c r="H30" s="203"/>
      <c r="I30" s="2173"/>
      <c r="M30" s="85">
        <v>15</v>
      </c>
    </row>
    <row customHeight="1" ht="31.5">
      <c r="A31" s="1685"/>
      <c r="B31" s="148">
        <v>3</v>
      </c>
      <c r="C31" s="98"/>
      <c r="D31" s="149">
        <v>5</v>
      </c>
      <c r="E31" s="246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2"/>
      <c r="G31" s="2462"/>
      <c r="H31" s="2462"/>
      <c r="I31" s="258"/>
      <c r="M31" s="85">
        <v>30</v>
      </c>
    </row>
    <row customHeight="1" ht="27.299999999999997">
      <c r="A32" s="1685"/>
      <c r="C32" s="98"/>
      <c r="D32" s="149" t="s">
        <v>313</v>
      </c>
      <c r="E32" s="240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5"/>
      <c r="G32" s="2405"/>
      <c r="H32" s="2405"/>
      <c r="I32" s="258"/>
      <c r="M32" s="85">
        <v>26</v>
      </c>
    </row>
    <row customHeight="1" ht="14.699999999999998">
      <c r="A33" s="1685"/>
      <c r="C33" s="98"/>
      <c r="D33" s="149" t="s">
        <v>1141</v>
      </c>
      <c r="E33" s="208" t="s">
        <v>1130</v>
      </c>
      <c r="F33" s="200"/>
      <c r="G33" s="259"/>
      <c r="H33" s="200" t="s">
        <v>306</v>
      </c>
      <c r="I33" s="2171" t="s">
        <v>1142</v>
      </c>
      <c r="M33" s="85">
        <v>14</v>
      </c>
    </row>
    <row customHeight="1" ht="15.75">
      <c r="A34" s="1685" t="s">
        <v>90</v>
      </c>
      <c r="C34" s="98"/>
      <c r="D34" s="111"/>
      <c r="E34" s="206" t="s">
        <v>322</v>
      </c>
      <c r="F34" s="202"/>
      <c r="G34" s="202"/>
      <c r="H34" s="203"/>
      <c r="I34" s="2173"/>
      <c r="M34" s="85">
        <v>15</v>
      </c>
    </row>
    <row customHeight="1" ht="25.2">
      <c r="A35" s="1685"/>
      <c r="C35" s="98"/>
      <c r="D35" s="149" t="s">
        <v>882</v>
      </c>
      <c r="E35" s="240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5"/>
      <c r="G35" s="2405"/>
      <c r="H35" s="2405"/>
      <c r="I35" s="258"/>
      <c r="M35" s="85">
        <v>24</v>
      </c>
    </row>
    <row customHeight="1" ht="14.699999999999998">
      <c r="A36" s="1685"/>
      <c r="C36" s="98"/>
      <c r="D36" s="149" t="s">
        <v>1143</v>
      </c>
      <c r="E36" s="208" t="s">
        <v>1131</v>
      </c>
      <c r="F36" s="200"/>
      <c r="G36" s="259"/>
      <c r="H36" s="200" t="s">
        <v>306</v>
      </c>
      <c r="I36" s="2145" t="s">
        <v>1144</v>
      </c>
      <c r="M36" s="85">
        <v>14</v>
      </c>
    </row>
    <row customHeight="1" ht="15.75">
      <c r="A37" s="1685" t="s">
        <v>91</v>
      </c>
      <c r="C37" s="98"/>
      <c r="D37" s="111"/>
      <c r="E37" s="206" t="s">
        <v>322</v>
      </c>
      <c r="F37" s="202"/>
      <c r="G37" s="202"/>
      <c r="H37" s="203"/>
      <c r="I37" s="2145"/>
      <c r="M37" s="85">
        <v>15</v>
      </c>
    </row>
    <row customHeight="1" ht="27.299999999999997">
      <c r="A38" s="1685"/>
      <c r="C38" s="98"/>
      <c r="D38" s="149" t="s">
        <v>883</v>
      </c>
      <c r="E38" s="240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5"/>
      <c r="G38" s="2405"/>
      <c r="H38" s="2405"/>
      <c r="I38" s="258"/>
      <c r="M38" s="85">
        <v>26</v>
      </c>
    </row>
    <row customHeight="1" ht="14.699999999999998">
      <c r="A39" s="1685"/>
      <c r="C39" s="98"/>
      <c r="D39" s="149" t="s">
        <v>884</v>
      </c>
      <c r="E39" s="208" t="s">
        <v>1132</v>
      </c>
      <c r="F39" s="200"/>
      <c r="G39" s="209"/>
      <c r="H39" s="200" t="s">
        <v>306</v>
      </c>
      <c r="I39" s="2171" t="s">
        <v>1145</v>
      </c>
      <c r="L39" s="157" t="s">
        <v>1133</v>
      </c>
      <c r="M39" s="85">
        <v>14</v>
      </c>
    </row>
    <row customHeight="1" ht="15.75">
      <c r="A40" s="1685" t="s">
        <v>111</v>
      </c>
      <c r="C40" s="98"/>
      <c r="D40" s="111"/>
      <c r="E40" s="206" t="s">
        <v>322</v>
      </c>
      <c r="F40" s="202"/>
      <c r="G40" s="202"/>
      <c r="H40" s="203"/>
      <c r="I40" s="2173"/>
      <c r="M40" s="85">
        <v>15</v>
      </c>
    </row>
    <row s="1825" customFormat="1" customHeight="1" ht="3">
      <c r="A41" s="1685"/>
      <c r="K41" s="198"/>
      <c r="L41" s="198"/>
      <c r="M41" s="142">
        <v>3</v>
      </c>
    </row>
    <row customHeight="1" ht="26.25">
      <c r="D42" s="1683" t="s">
        <v>804</v>
      </c>
      <c r="E42" s="228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7"/>
      <c r="G42" s="2287"/>
      <c r="H42" s="2287"/>
      <c r="I42" s="2287"/>
      <c r="M42" s="85">
        <v>25</v>
      </c>
    </row>
    <row customHeight="1" ht="22.5" hidden="1">
      <c r="A43" s="1364" t="s">
        <v>82</v>
      </c>
      <c r="B43" s="148">
        <v>0</v>
      </c>
      <c r="C43" s="99">
        <v>3</v>
      </c>
      <c r="D43" s="85">
        <v>6</v>
      </c>
      <c r="E43" s="85">
        <v>63</v>
      </c>
      <c r="F43" s="85">
        <v>0</v>
      </c>
      <c r="G43" s="85">
        <v>35</v>
      </c>
      <c r="H43" s="85">
        <v>35</v>
      </c>
      <c r="I43" s="85">
        <v>91</v>
      </c>
      <c r="J43" s="85">
        <v>68</v>
      </c>
      <c r="K43" s="157">
        <v>10</v>
      </c>
      <c r="L43" s="157">
        <v>10</v>
      </c>
      <c r="M43" s="85">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31AFEB-7524-7AAE-4EF1-9CE3FD93AFEC}"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1" width="25.140625" hidden="1" customWidth="1"/>
    <col min="3" max="3" style="1689" width="9.140625" hidden="1" customWidth="1"/>
    <col min="4" max="4" style="346" width="3.00390625" customWidth="1"/>
    <col min="5" max="5" style="1637" width="6.00390625" customWidth="1"/>
    <col min="6" max="6" style="1637" width="46.7109375" customWidth="1"/>
    <col min="7" max="7" style="1637" width="35.00390625" customWidth="1"/>
    <col min="8" max="8" style="1637" width="3.00390625" customWidth="1"/>
    <col min="9" max="10" style="1637" width="11.00390625" customWidth="1"/>
    <col min="11" max="12" style="1637" width="35.00390625" customWidth="1"/>
    <col min="13" max="13" style="1637" width="84.00390625" customWidth="1"/>
    <col min="14" max="14" style="1637" width="10.00390625" customWidth="1"/>
    <col min="15" max="16" style="1626" width="10.00390625" customWidth="1"/>
    <col min="17" max="33" style="1637" width="10.00390625" customWidth="1"/>
    <col min="34" max="34" style="1637" width="10.57421875" hidden="1"/>
  </cols>
  <sheetData>
    <row s="1637" customFormat="1" customHeight="1" ht="22.5" hidden="1">
      <c r="A1" s="1781"/>
      <c r="B1" s="1781"/>
      <c r="C1" s="371"/>
      <c r="D1" s="346"/>
      <c r="N1" s="1638">
        <f>_xlfn.IFERROR(MATCH("метод экономически обоснованных расходов (затрат)",OFFER_METHOD,0),0)</f>
        <v>0</v>
      </c>
      <c r="O1" s="1626"/>
      <c r="P1" s="1626"/>
      <c r="T1" s="833"/>
      <c r="AG1" s="257"/>
      <c r="AH1" s="1633" t="s">
        <v>14</v>
      </c>
    </row>
    <row s="1637" customFormat="1" customHeight="1" ht="18.75" hidden="1">
      <c r="A2" s="1782" t="s">
        <v>157</v>
      </c>
      <c r="B2" s="1782" t="s">
        <v>158</v>
      </c>
      <c r="C2" s="371"/>
      <c r="D2" s="346"/>
      <c r="E2" s="1033"/>
      <c r="F2" s="1033"/>
      <c r="G2" s="2429" t="str">
        <f>INDEX(PT_DIFFERENTIATION_NTAR,MATCH(B2,PT_DIFFERENTIATION_NTAR_ID,0))</f>
        <v/>
      </c>
      <c r="H2" s="1866"/>
      <c r="I2" s="1741"/>
      <c r="J2" s="1775"/>
      <c r="K2" s="1867"/>
      <c r="L2" s="1866" t="s">
        <v>306</v>
      </c>
      <c r="M2" s="1877"/>
      <c r="N2" s="336"/>
      <c r="O2" s="1626"/>
      <c r="P2" s="1626"/>
      <c r="AH2" s="1633">
        <v>0</v>
      </c>
    </row>
    <row s="1637" customFormat="1" customHeight="1" ht="18.75" hidden="1">
      <c r="A3" s="1782"/>
      <c r="B3" s="1782"/>
      <c r="C3" s="371" t="s">
        <v>1146</v>
      </c>
      <c r="D3" s="346"/>
      <c r="E3" s="1033"/>
      <c r="F3" s="1033"/>
      <c r="G3" s="2429"/>
      <c r="H3" s="1502"/>
      <c r="I3" s="653" t="s">
        <v>1147</v>
      </c>
      <c r="J3" s="573"/>
      <c r="K3" s="1502"/>
      <c r="L3" s="216"/>
      <c r="M3" s="1877"/>
      <c r="N3" s="336"/>
      <c r="O3" s="1626"/>
      <c r="P3" s="1626"/>
      <c r="AH3" s="1633">
        <v>0</v>
      </c>
    </row>
    <row s="1637" customFormat="1" customHeight="1" ht="14.25" hidden="1">
      <c r="A4" s="1781"/>
      <c r="B4" s="1781"/>
      <c r="C4" s="371"/>
      <c r="D4" s="346"/>
      <c r="N4" s="1638">
        <f>_xlfn.IFERROR(MATCH("метод экономически обоснованных расходов (затрат)",OFFER_METHOD,0),0)</f>
        <v>0</v>
      </c>
      <c r="O4" s="1626"/>
      <c r="P4" s="1626"/>
      <c r="T4" s="833"/>
      <c r="AG4" s="257"/>
      <c r="AH4" s="1633">
        <v>0</v>
      </c>
    </row>
    <row s="1637" customFormat="1" customHeight="1" ht="18.75" hidden="1">
      <c r="A5" s="1782" t="s">
        <v>157</v>
      </c>
      <c r="B5" s="1782" t="s">
        <v>158</v>
      </c>
      <c r="C5" s="371"/>
      <c r="D5" s="346"/>
      <c r="E5" s="1033"/>
      <c r="F5" s="1033"/>
      <c r="G5" s="2429" t="str">
        <f>INDEX(PT_DIFFERENTIATION_NTAR,MATCH(B5,PT_DIFFERENTIATION_NTAR_ID,0))</f>
        <v/>
      </c>
      <c r="H5" s="1866"/>
      <c r="I5" s="1741"/>
      <c r="J5" s="1775"/>
      <c r="K5" s="1780"/>
      <c r="L5" s="1866" t="s">
        <v>306</v>
      </c>
      <c r="M5" s="1877"/>
      <c r="N5" s="336"/>
      <c r="O5" s="1626"/>
      <c r="P5" s="1626"/>
      <c r="AH5" s="1633">
        <v>0</v>
      </c>
    </row>
    <row s="1637" customFormat="1" customHeight="1" ht="18.75" hidden="1">
      <c r="A6" s="1782"/>
      <c r="B6" s="1782"/>
      <c r="C6" s="371" t="s">
        <v>1148</v>
      </c>
      <c r="D6" s="346"/>
      <c r="E6" s="1033"/>
      <c r="F6" s="1033"/>
      <c r="G6" s="2429"/>
      <c r="H6" s="1502"/>
      <c r="I6" s="653" t="s">
        <v>1147</v>
      </c>
      <c r="J6" s="573"/>
      <c r="K6" s="1502"/>
      <c r="L6" s="216"/>
      <c r="M6" s="1877"/>
      <c r="N6" s="336"/>
      <c r="O6" s="1626"/>
      <c r="P6" s="1626"/>
      <c r="AH6" s="1633">
        <v>0</v>
      </c>
    </row>
    <row s="1637" customFormat="1" customHeight="1" ht="14.25" hidden="1">
      <c r="A7" s="1781"/>
      <c r="B7" s="1781"/>
      <c r="C7" s="371"/>
      <c r="D7" s="346"/>
      <c r="N7" s="1638">
        <f>_xlfn.IFERROR(MATCH("метод экономически обоснованных расходов (затрат)",OFFER_METHOD,0),0)</f>
        <v>0</v>
      </c>
      <c r="O7" s="1626"/>
      <c r="P7" s="1626"/>
      <c r="T7" s="833"/>
      <c r="AG7" s="257"/>
      <c r="AH7" s="1633">
        <v>0</v>
      </c>
    </row>
    <row s="1637" customFormat="1" customHeight="1" ht="56.25" hidden="1">
      <c r="A8" s="1782"/>
      <c r="B8" s="1782"/>
      <c r="C8" s="371"/>
      <c r="D8" s="346"/>
      <c r="E8" s="1033"/>
      <c r="F8" s="1033"/>
      <c r="G8" s="1033"/>
      <c r="H8" s="1773"/>
      <c r="I8" s="1741"/>
      <c r="J8" s="1775"/>
      <c r="K8" s="1867"/>
      <c r="L8" s="1773" t="s">
        <v>306</v>
      </c>
      <c r="M8" s="1877"/>
      <c r="N8" s="336"/>
      <c r="O8" s="1626"/>
      <c r="P8" s="1626"/>
      <c r="AH8" s="1633">
        <v>0</v>
      </c>
    </row>
    <row customHeight="1" ht="14.25" hidden="1">
      <c r="T9" s="399"/>
      <c r="AG9" s="257"/>
      <c r="AH9" s="376">
        <v>0</v>
      </c>
    </row>
    <row s="1637" customFormat="1" customHeight="1" ht="56.25" hidden="1">
      <c r="A10" s="1782"/>
      <c r="B10" s="1782"/>
      <c r="C10" s="371"/>
      <c r="D10" s="346"/>
      <c r="E10" s="1033"/>
      <c r="F10" s="1033"/>
      <c r="G10" s="1033"/>
      <c r="H10" s="1772"/>
      <c r="I10" s="1741"/>
      <c r="J10" s="1775"/>
      <c r="K10" s="1780"/>
      <c r="L10" s="1773" t="s">
        <v>306</v>
      </c>
      <c r="M10" s="1877"/>
      <c r="N10" s="336"/>
      <c r="O10" s="1626"/>
      <c r="P10" s="1626"/>
      <c r="AH10" s="1633">
        <v>0</v>
      </c>
    </row>
    <row customHeight="1" ht="14.25" hidden="1">
      <c r="AH11" s="376">
        <v>0</v>
      </c>
    </row>
    <row customHeight="1" ht="14.25" hidden="1">
      <c r="AH12" s="376">
        <v>0</v>
      </c>
    </row>
    <row customHeight="1" ht="6.3">
      <c r="D13" s="378"/>
      <c r="E13" s="365"/>
      <c r="F13" s="365"/>
      <c r="G13" s="365"/>
      <c r="H13" s="365"/>
      <c r="I13" s="365"/>
      <c r="J13" s="365"/>
      <c r="K13" s="365"/>
      <c r="L13" s="87"/>
      <c r="M13" s="87"/>
      <c r="AH13" s="376">
        <v>6</v>
      </c>
    </row>
    <row customHeight="1" ht="14.699999999999998">
      <c r="D14" s="378"/>
      <c r="E14" s="246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7"/>
      <c r="G14" s="2467"/>
      <c r="H14" s="2467"/>
      <c r="I14" s="2467"/>
      <c r="J14" s="2467"/>
      <c r="K14" s="2467"/>
      <c r="L14" s="2467"/>
      <c r="M14" s="222"/>
      <c r="AH14" s="376">
        <v>14</v>
      </c>
    </row>
    <row customHeight="1" ht="6.3">
      <c r="D15" s="378"/>
      <c r="E15" s="365"/>
      <c r="F15" s="391"/>
      <c r="G15" s="391"/>
      <c r="H15" s="391"/>
      <c r="I15" s="391"/>
      <c r="J15" s="391"/>
      <c r="K15" s="391"/>
      <c r="L15" s="324"/>
      <c r="M15" s="195"/>
      <c r="AH15" s="376">
        <v>6</v>
      </c>
    </row>
    <row customHeight="1" ht="24">
      <c r="D16" s="378"/>
      <c r="E16" s="365"/>
      <c r="F16" s="307" t="str">
        <f>"Дата подачи заявления об "&amp;IF(TITLE_DATE_PR_CHANGE="","утверждении","изменении")&amp;" тарифов"</f>
        <v>Дата подачи заявления об утверждении тарифов</v>
      </c>
      <c r="G16" s="2266" t="str">
        <f>IF(TITLE_DATE_PR_CHANGE="",IF(TITLE_DATE_PR="","",TITLE_DATE_PR),TITLE_DATE_PR_CHANGE)</f>
        <v/>
      </c>
      <c r="H16" s="2266"/>
      <c r="I16" s="2266"/>
      <c r="J16" s="2266"/>
      <c r="K16" s="2266"/>
      <c r="L16" s="2266"/>
      <c r="M16" s="400"/>
      <c r="N16" s="328"/>
      <c r="AH16" s="376">
        <v>23</v>
      </c>
    </row>
    <row customHeight="1" ht="24">
      <c r="D17" s="378"/>
      <c r="E17" s="365"/>
      <c r="F17" s="307" t="str">
        <f>"Номер подачи заявления об "&amp;IF(TITLE_DATE_PR_CHANGE="","утверждении","изменении")&amp;" тарифов"</f>
        <v>Номер подачи заявления об утверждении тарифов</v>
      </c>
      <c r="G17" s="2253" t="str">
        <f>IF(TITLE_NUMBER_PR_CHANGE="",IF(TITLE_NUMBER_PR="","",TITLE_NUMBER_PR),TITLE_NUMBER_PR_CHANGE)</f>
        <v/>
      </c>
      <c r="H17" s="2253"/>
      <c r="I17" s="2253"/>
      <c r="J17" s="2253"/>
      <c r="K17" s="2253"/>
      <c r="L17" s="2253"/>
      <c r="M17" s="400"/>
      <c r="N17" s="328"/>
      <c r="AH17" s="376">
        <v>23</v>
      </c>
    </row>
    <row customHeight="1" ht="14.699999999999998">
      <c r="D18" s="378"/>
      <c r="E18" s="365"/>
      <c r="F18" s="391"/>
      <c r="G18" s="391"/>
      <c r="H18" s="391"/>
      <c r="I18" s="391"/>
      <c r="J18" s="391"/>
      <c r="K18" s="391"/>
      <c r="L18" s="754"/>
      <c r="M18" s="195"/>
      <c r="AH18" s="376">
        <v>14</v>
      </c>
    </row>
    <row customHeight="1" ht="22.049999999999997">
      <c r="D19" s="378"/>
      <c r="E19" s="2211" t="s">
        <v>300</v>
      </c>
      <c r="F19" s="2211"/>
      <c r="G19" s="2211"/>
      <c r="H19" s="2211"/>
      <c r="I19" s="2211"/>
      <c r="J19" s="2211"/>
      <c r="K19" s="2211"/>
      <c r="L19" s="2211"/>
      <c r="M19" s="2391" t="s">
        <v>301</v>
      </c>
      <c r="AH19" s="376">
        <v>21</v>
      </c>
    </row>
    <row customHeight="1" ht="22.049999999999997">
      <c r="D20" s="378"/>
      <c r="E20" s="2279" t="s">
        <v>88</v>
      </c>
      <c r="F20" s="2226" t="s">
        <v>124</v>
      </c>
      <c r="G20" s="2226" t="s">
        <v>125</v>
      </c>
      <c r="H20" s="2388" t="s">
        <v>1149</v>
      </c>
      <c r="I20" s="2389"/>
      <c r="J20" s="2435"/>
      <c r="K20" s="2226" t="s">
        <v>303</v>
      </c>
      <c r="L20" s="2226" t="s">
        <v>390</v>
      </c>
      <c r="M20" s="2391"/>
      <c r="AH20" s="376">
        <v>21</v>
      </c>
    </row>
    <row customHeight="1" ht="22.049999999999997">
      <c r="D21" s="378"/>
      <c r="E21" s="2281"/>
      <c r="F21" s="2227"/>
      <c r="G21" s="2227"/>
      <c r="H21" s="2220" t="s">
        <v>1150</v>
      </c>
      <c r="I21" s="2222"/>
      <c r="J21" s="110" t="s">
        <v>1151</v>
      </c>
      <c r="K21" s="2227"/>
      <c r="L21" s="2227"/>
      <c r="M21" s="2391"/>
      <c r="AH21" s="376">
        <v>21</v>
      </c>
    </row>
    <row customHeight="1" ht="12.75">
      <c r="D22" s="378"/>
      <c r="E22" s="283"/>
      <c r="F22" s="283"/>
      <c r="G22" s="283"/>
      <c r="H22" s="2469"/>
      <c r="I22" s="2469"/>
      <c r="J22" s="283"/>
      <c r="K22" s="283"/>
      <c r="L22" s="283"/>
      <c r="M22" s="283"/>
      <c r="AH22" s="376">
        <v>12</v>
      </c>
    </row>
    <row customHeight="1" ht="19.95">
      <c r="A23" s="1782"/>
      <c r="B23" s="1782"/>
      <c r="D23" s="378"/>
      <c r="E23" s="1868" t="s">
        <v>109</v>
      </c>
      <c r="F23" s="2470" t="str">
        <f>"Предлагаемый метод регулирования"&amp;IF(TEMPLATE_SPHERE="HEAT"," в сфере "&amp;TEMPLATE_SPHERE_RUS,"")</f>
        <v>Предлагаемый метод регулирования в сфере теплоснабжения</v>
      </c>
      <c r="G23" s="2471"/>
      <c r="H23" s="2463"/>
      <c r="I23" s="2463"/>
      <c r="J23" s="2463"/>
      <c r="K23" s="2471" t="s">
        <v>306</v>
      </c>
      <c r="L23" s="2463"/>
      <c r="M23" s="1771"/>
      <c r="N23" s="336"/>
      <c r="AH23" s="376">
        <v>19</v>
      </c>
    </row>
    <row customHeight="1" ht="60.75" hidden="1">
      <c r="A24" s="1782" t="s">
        <v>157</v>
      </c>
      <c r="B24" s="1782" t="s">
        <v>158</v>
      </c>
      <c r="D24" s="2468"/>
      <c r="E24" s="2206"/>
      <c r="F24" s="247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9" t="str">
        <f>INDEX(PT_DIFFERENTIATION_NTAR,MATCH(B24,PT_DIFFERENTIATION_NTAR_ID,0))</f>
        <v/>
      </c>
      <c r="H24" s="1864"/>
      <c r="I24" s="1741"/>
      <c r="J24" s="1775"/>
      <c r="K24" s="1867"/>
      <c r="L24" s="1770" t="s">
        <v>306</v>
      </c>
      <c r="M24"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6"/>
      <c r="AH24" s="376">
        <v>0</v>
      </c>
    </row>
    <row s="1637" customFormat="1" customHeight="1" ht="18.75" hidden="1">
      <c r="A25" s="1782"/>
      <c r="B25" s="1782"/>
      <c r="C25" s="371" t="s">
        <v>1146</v>
      </c>
      <c r="D25" s="2468"/>
      <c r="E25" s="2206"/>
      <c r="F25" s="2472"/>
      <c r="G25" s="2429"/>
      <c r="H25" s="1502"/>
      <c r="I25" s="653" t="s">
        <v>1147</v>
      </c>
      <c r="J25" s="573"/>
      <c r="K25" s="1502"/>
      <c r="L25" s="216"/>
      <c r="M25" s="2172"/>
      <c r="N25" s="336"/>
      <c r="O25" s="1626"/>
      <c r="P25" s="1626"/>
      <c r="AH25" s="1633">
        <v>0</v>
      </c>
    </row>
    <row customHeight="1" ht="0.75" hidden="1">
      <c r="A26" s="1782"/>
      <c r="B26" s="1782"/>
      <c r="C26" s="371" t="s">
        <v>1152</v>
      </c>
      <c r="D26" s="2468"/>
      <c r="E26" s="2206"/>
      <c r="F26" s="2385"/>
      <c r="G26" s="402"/>
      <c r="H26" s="1502"/>
      <c r="I26" s="397"/>
      <c r="J26" s="351"/>
      <c r="K26" s="1502"/>
      <c r="L26" s="203"/>
      <c r="M26" s="2172"/>
      <c r="N26" s="336"/>
      <c r="AH26" s="376">
        <v>0</v>
      </c>
    </row>
    <row s="1637" customFormat="1" customHeight="1" ht="45" hidden="1">
      <c r="A27" s="1782" t="s">
        <v>162</v>
      </c>
      <c r="B27" s="1782" t="s">
        <v>163</v>
      </c>
      <c r="C27" s="371"/>
      <c r="D27" s="2464"/>
      <c r="E27" s="2465"/>
      <c r="F27" s="2466" t="str">
        <f>INDEX(PT_DIFFERENTIATION_VTAR,MATCH(A27,PT_DIFFERENTIATION_VTAR_ID,0))</f>
        <v/>
      </c>
      <c r="G27" s="2429" t="str">
        <f>INDEX(PT_DIFFERENTIATION_NTAR,MATCH(B27,PT_DIFFERENTIATION_NTAR_ID,0))</f>
        <v/>
      </c>
      <c r="H27" s="1864"/>
      <c r="I27" s="1741"/>
      <c r="J27" s="1775"/>
      <c r="K27" s="1867"/>
      <c r="L27" s="1864" t="s">
        <v>306</v>
      </c>
      <c r="M27" s="2172"/>
      <c r="N27" s="336"/>
      <c r="O27" s="1626"/>
      <c r="P27" s="1626"/>
      <c r="AH27" s="1633">
        <v>0</v>
      </c>
    </row>
    <row s="1637" customFormat="1" customHeight="1" ht="18.75" hidden="1">
      <c r="A28" s="1782"/>
      <c r="B28" s="1782"/>
      <c r="C28" s="371" t="s">
        <v>1146</v>
      </c>
      <c r="D28" s="2464"/>
      <c r="E28" s="2465"/>
      <c r="F28" s="2466"/>
      <c r="G28" s="2429"/>
      <c r="H28" s="1502"/>
      <c r="I28" s="653" t="s">
        <v>1147</v>
      </c>
      <c r="J28" s="573"/>
      <c r="K28" s="1502"/>
      <c r="L28" s="216"/>
      <c r="M28" s="2172"/>
      <c r="N28" s="336"/>
      <c r="O28" s="1626"/>
      <c r="P28" s="1626"/>
      <c r="AH28" s="1633">
        <v>0</v>
      </c>
    </row>
    <row s="1637" customFormat="1" customHeight="1" ht="0.75" hidden="1">
      <c r="A29" s="1782"/>
      <c r="B29" s="1782"/>
      <c r="C29" s="371" t="s">
        <v>1152</v>
      </c>
      <c r="D29" s="2464"/>
      <c r="E29" s="2206"/>
      <c r="F29" s="2385"/>
      <c r="G29" s="402"/>
      <c r="H29" s="1502"/>
      <c r="I29" s="653"/>
      <c r="J29" s="573"/>
      <c r="K29" s="1502"/>
      <c r="L29" s="216"/>
      <c r="M29" s="2172"/>
      <c r="N29" s="336"/>
      <c r="O29" s="1626"/>
      <c r="P29" s="1626"/>
      <c r="AH29" s="1633">
        <v>0</v>
      </c>
    </row>
    <row s="1637" customFormat="1" customHeight="1" ht="45" hidden="1">
      <c r="A30" s="1782" t="s">
        <v>169</v>
      </c>
      <c r="B30" s="1782" t="s">
        <v>170</v>
      </c>
      <c r="C30" s="371"/>
      <c r="D30" s="2464"/>
      <c r="E30" s="2206"/>
      <c r="F30" s="238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9" t="str">
        <f>INDEX(PT_DIFFERENTIATION_NTAR,MATCH(B30,PT_DIFFERENTIATION_NTAR_ID,0))</f>
        <v/>
      </c>
      <c r="H30" s="1864"/>
      <c r="I30" s="1741"/>
      <c r="J30" s="1775"/>
      <c r="K30" s="1867"/>
      <c r="L30" s="1864" t="s">
        <v>306</v>
      </c>
      <c r="M30" s="2172"/>
      <c r="N30" s="336"/>
      <c r="O30" s="1626"/>
      <c r="P30" s="1626"/>
      <c r="AH30" s="1633">
        <v>0</v>
      </c>
    </row>
    <row s="1637" customFormat="1" customHeight="1" ht="18.75" hidden="1">
      <c r="A31" s="1782"/>
      <c r="B31" s="1782"/>
      <c r="C31" s="371" t="s">
        <v>1146</v>
      </c>
      <c r="D31" s="2464"/>
      <c r="E31" s="2206"/>
      <c r="F31" s="2385"/>
      <c r="G31" s="2429"/>
      <c r="H31" s="1502"/>
      <c r="I31" s="653" t="s">
        <v>1147</v>
      </c>
      <c r="J31" s="573"/>
      <c r="K31" s="1502"/>
      <c r="L31" s="216"/>
      <c r="M31" s="2172"/>
      <c r="N31" s="336"/>
      <c r="O31" s="1626"/>
      <c r="P31" s="1626"/>
      <c r="AH31" s="1633">
        <v>0</v>
      </c>
    </row>
    <row s="1637" customFormat="1" customHeight="1" ht="0.75" hidden="1">
      <c r="A32" s="1782"/>
      <c r="B32" s="1782"/>
      <c r="C32" s="371" t="s">
        <v>1152</v>
      </c>
      <c r="D32" s="2464"/>
      <c r="E32" s="2206"/>
      <c r="F32" s="2385"/>
      <c r="G32" s="402"/>
      <c r="H32" s="1502"/>
      <c r="I32" s="653"/>
      <c r="J32" s="573"/>
      <c r="K32" s="1502"/>
      <c r="L32" s="216"/>
      <c r="M32" s="2172"/>
      <c r="N32" s="336"/>
      <c r="O32" s="1626"/>
      <c r="P32" s="1626"/>
      <c r="AH32" s="1633">
        <v>0</v>
      </c>
    </row>
    <row s="1637" customFormat="1" customHeight="1" ht="45" hidden="1">
      <c r="A33" s="1782" t="s">
        <v>175</v>
      </c>
      <c r="B33" s="1782" t="s">
        <v>176</v>
      </c>
      <c r="C33" s="371"/>
      <c r="D33" s="2464"/>
      <c r="E33" s="2206"/>
      <c r="F33" s="238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9" t="str">
        <f>INDEX(PT_DIFFERENTIATION_NTAR,MATCH(B33,PT_DIFFERENTIATION_NTAR_ID,0))</f>
        <v/>
      </c>
      <c r="H33" s="1864"/>
      <c r="I33" s="1741"/>
      <c r="J33" s="1775"/>
      <c r="K33" s="1867"/>
      <c r="L33" s="1864" t="s">
        <v>306</v>
      </c>
      <c r="M33" s="2172"/>
      <c r="N33" s="336"/>
      <c r="O33" s="1626"/>
      <c r="P33" s="1626"/>
      <c r="AH33" s="1633">
        <v>0</v>
      </c>
    </row>
    <row s="1637" customFormat="1" customHeight="1" ht="18.75" hidden="1">
      <c r="A34" s="1782"/>
      <c r="B34" s="1782"/>
      <c r="C34" s="371" t="s">
        <v>1146</v>
      </c>
      <c r="D34" s="2464"/>
      <c r="E34" s="2206"/>
      <c r="F34" s="2385"/>
      <c r="G34" s="2429"/>
      <c r="H34" s="1502"/>
      <c r="I34" s="653" t="s">
        <v>1147</v>
      </c>
      <c r="J34" s="573"/>
      <c r="K34" s="1502"/>
      <c r="L34" s="216"/>
      <c r="M34" s="2172"/>
      <c r="N34" s="336"/>
      <c r="O34" s="1626"/>
      <c r="P34" s="1626"/>
      <c r="AH34" s="1633">
        <v>0</v>
      </c>
    </row>
    <row s="1637" customFormat="1" customHeight="1" ht="0.75" hidden="1">
      <c r="A35" s="1782"/>
      <c r="B35" s="1782"/>
      <c r="C35" s="371" t="s">
        <v>1152</v>
      </c>
      <c r="D35" s="2464"/>
      <c r="E35" s="2206"/>
      <c r="F35" s="2385"/>
      <c r="G35" s="402"/>
      <c r="H35" s="1502"/>
      <c r="I35" s="653"/>
      <c r="J35" s="573"/>
      <c r="K35" s="1502"/>
      <c r="L35" s="216"/>
      <c r="M35" s="2172"/>
      <c r="N35" s="336"/>
      <c r="O35" s="1626"/>
      <c r="P35" s="1626"/>
      <c r="AH35" s="1633">
        <v>0</v>
      </c>
    </row>
    <row s="1637" customFormat="1" customHeight="1" ht="18.75" hidden="1">
      <c r="A36" s="1782" t="s">
        <v>181</v>
      </c>
      <c r="B36" s="1782" t="s">
        <v>182</v>
      </c>
      <c r="C36" s="371"/>
      <c r="D36" s="2464"/>
      <c r="E36" s="2206"/>
      <c r="F36" s="2385" t="str">
        <f>INDEX(PT_DIFFERENTIATION_VTAR,MATCH(A36,PT_DIFFERENTIATION_VTAR_ID,0))</f>
        <v>Тарифы на услуги по передаче тепловой энергии</v>
      </c>
      <c r="G36" s="2429" t="str">
        <f>INDEX(PT_DIFFERENTIATION_NTAR,MATCH(B36,PT_DIFFERENTIATION_NTAR_ID,0))</f>
        <v/>
      </c>
      <c r="H36" s="1864"/>
      <c r="I36" s="1741"/>
      <c r="J36" s="1775"/>
      <c r="K36" s="1867"/>
      <c r="L36" s="1864" t="s">
        <v>306</v>
      </c>
      <c r="M36" s="2172"/>
      <c r="N36" s="336"/>
      <c r="O36" s="1626"/>
      <c r="P36" s="1626"/>
      <c r="AH36" s="1633">
        <v>0</v>
      </c>
    </row>
    <row s="1637" customFormat="1" customHeight="1" ht="18.75" hidden="1">
      <c r="A37" s="1782"/>
      <c r="B37" s="1782"/>
      <c r="C37" s="371" t="s">
        <v>1146</v>
      </c>
      <c r="D37" s="2464"/>
      <c r="E37" s="2206"/>
      <c r="F37" s="2385"/>
      <c r="G37" s="2429"/>
      <c r="H37" s="1502"/>
      <c r="I37" s="653" t="s">
        <v>1147</v>
      </c>
      <c r="J37" s="573"/>
      <c r="K37" s="1502"/>
      <c r="L37" s="216"/>
      <c r="M37" s="2172"/>
      <c r="N37" s="336"/>
      <c r="O37" s="1626"/>
      <c r="P37" s="1626"/>
      <c r="AH37" s="1633">
        <v>0</v>
      </c>
    </row>
    <row s="1637" customFormat="1" customHeight="1" ht="0.75" hidden="1">
      <c r="A38" s="1782"/>
      <c r="B38" s="1782"/>
      <c r="C38" s="371" t="s">
        <v>1152</v>
      </c>
      <c r="D38" s="2464"/>
      <c r="E38" s="2206"/>
      <c r="F38" s="2385"/>
      <c r="G38" s="402"/>
      <c r="H38" s="1502"/>
      <c r="I38" s="653"/>
      <c r="J38" s="573"/>
      <c r="K38" s="1502"/>
      <c r="L38" s="216"/>
      <c r="M38" s="2172"/>
      <c r="N38" s="336"/>
      <c r="O38" s="1626"/>
      <c r="P38" s="1626"/>
      <c r="AH38" s="1633">
        <v>0</v>
      </c>
    </row>
    <row s="1637" customFormat="1" customHeight="1" ht="18.75" hidden="1">
      <c r="A39" s="1782" t="s">
        <v>187</v>
      </c>
      <c r="B39" s="1782" t="s">
        <v>188</v>
      </c>
      <c r="C39" s="371"/>
      <c r="D39" s="2464"/>
      <c r="E39" s="2206"/>
      <c r="F39" s="2385" t="str">
        <f>INDEX(PT_DIFFERENTIATION_VTAR,MATCH(A39,PT_DIFFERENTIATION_VTAR_ID,0))</f>
        <v>Тарифы на услуги по передаче теплоносителя</v>
      </c>
      <c r="G39" s="2429" t="str">
        <f>INDEX(PT_DIFFERENTIATION_NTAR,MATCH(B39,PT_DIFFERENTIATION_NTAR_ID,0))</f>
        <v/>
      </c>
      <c r="H39" s="1864"/>
      <c r="I39" s="1741"/>
      <c r="J39" s="1775"/>
      <c r="K39" s="1867"/>
      <c r="L39" s="1864" t="s">
        <v>306</v>
      </c>
      <c r="M39" s="2172"/>
      <c r="N39" s="336"/>
      <c r="O39" s="1626"/>
      <c r="P39" s="1626"/>
      <c r="AH39" s="1633">
        <v>0</v>
      </c>
    </row>
    <row s="1637" customFormat="1" customHeight="1" ht="18.75" hidden="1">
      <c r="A40" s="1782"/>
      <c r="B40" s="1782"/>
      <c r="C40" s="371" t="s">
        <v>1146</v>
      </c>
      <c r="D40" s="2464"/>
      <c r="E40" s="2206"/>
      <c r="F40" s="2385"/>
      <c r="G40" s="2429"/>
      <c r="H40" s="1502"/>
      <c r="I40" s="653" t="s">
        <v>1147</v>
      </c>
      <c r="J40" s="573"/>
      <c r="K40" s="1502"/>
      <c r="L40" s="216"/>
      <c r="M40" s="2172"/>
      <c r="N40" s="336"/>
      <c r="O40" s="1626"/>
      <c r="P40" s="1626"/>
      <c r="AH40" s="1633">
        <v>0</v>
      </c>
    </row>
    <row s="1637" customFormat="1" customHeight="1" ht="0.75" hidden="1">
      <c r="A41" s="1782"/>
      <c r="B41" s="1782"/>
      <c r="C41" s="371" t="s">
        <v>1152</v>
      </c>
      <c r="D41" s="2464"/>
      <c r="E41" s="2206"/>
      <c r="F41" s="2385"/>
      <c r="G41" s="402"/>
      <c r="H41" s="1502"/>
      <c r="I41" s="653"/>
      <c r="J41" s="573"/>
      <c r="K41" s="1502"/>
      <c r="L41" s="216"/>
      <c r="M41" s="2172"/>
      <c r="N41" s="336"/>
      <c r="O41" s="1626"/>
      <c r="P41" s="1626"/>
      <c r="AH41" s="1633">
        <v>0</v>
      </c>
    </row>
    <row s="1637" customFormat="1" customHeight="1" ht="18.75" hidden="1">
      <c r="A42" s="1782" t="s">
        <v>193</v>
      </c>
      <c r="B42" s="1782" t="s">
        <v>194</v>
      </c>
      <c r="C42" s="371"/>
      <c r="D42" s="2464"/>
      <c r="E42" s="2206"/>
      <c r="F42" s="2385"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9" t="str">
        <f>INDEX(PT_DIFFERENTIATION_NTAR,MATCH(B42,PT_DIFFERENTIATION_NTAR_ID,0))</f>
        <v/>
      </c>
      <c r="H42" s="1864"/>
      <c r="I42" s="1741"/>
      <c r="J42" s="1775"/>
      <c r="K42" s="1867"/>
      <c r="L42" s="1864" t="s">
        <v>306</v>
      </c>
      <c r="M42" s="2172"/>
      <c r="N42" s="336"/>
      <c r="O42" s="1626"/>
      <c r="P42" s="1626"/>
      <c r="AH42" s="1633">
        <v>0</v>
      </c>
    </row>
    <row s="1637" customFormat="1" customHeight="1" ht="18.75" hidden="1">
      <c r="A43" s="1782"/>
      <c r="B43" s="1782"/>
      <c r="C43" s="371" t="s">
        <v>1146</v>
      </c>
      <c r="D43" s="2464"/>
      <c r="E43" s="2206"/>
      <c r="F43" s="2385"/>
      <c r="G43" s="2429"/>
      <c r="H43" s="1502"/>
      <c r="I43" s="653" t="s">
        <v>1147</v>
      </c>
      <c r="J43" s="573"/>
      <c r="K43" s="1502"/>
      <c r="L43" s="216"/>
      <c r="M43" s="2172"/>
      <c r="N43" s="336"/>
      <c r="O43" s="1626"/>
      <c r="P43" s="1626"/>
      <c r="AH43" s="1633">
        <v>0</v>
      </c>
    </row>
    <row s="1637" customFormat="1" customHeight="1" ht="0.75" hidden="1">
      <c r="A44" s="1782"/>
      <c r="B44" s="1782"/>
      <c r="C44" s="371" t="s">
        <v>1152</v>
      </c>
      <c r="D44" s="2464"/>
      <c r="E44" s="2206"/>
      <c r="F44" s="2385"/>
      <c r="G44" s="402"/>
      <c r="H44" s="1502"/>
      <c r="I44" s="653"/>
      <c r="J44" s="573"/>
      <c r="K44" s="1502"/>
      <c r="L44" s="216"/>
      <c r="M44" s="2172"/>
      <c r="N44" s="336"/>
      <c r="O44" s="1626"/>
      <c r="P44" s="1626"/>
      <c r="AH44" s="1633">
        <v>0</v>
      </c>
    </row>
    <row s="1637" customFormat="1" customHeight="1" ht="18.75" hidden="1">
      <c r="A45" s="1782" t="s">
        <v>199</v>
      </c>
      <c r="B45" s="1782" t="s">
        <v>200</v>
      </c>
      <c r="C45" s="371"/>
      <c r="D45" s="2464"/>
      <c r="E45" s="2206"/>
      <c r="F45" s="2385" t="str">
        <f>INDEX(PT_DIFFERENTIATION_VTAR,MATCH(A45,PT_DIFFERENTIATION_VTAR_ID,0))</f>
        <v>Плата за подключение (технологическое присоединение) к системе теплоснабжения</v>
      </c>
      <c r="G45" s="2429" t="str">
        <f>INDEX(PT_DIFFERENTIATION_NTAR,MATCH(B45,PT_DIFFERENTIATION_NTAR_ID,0))</f>
        <v/>
      </c>
      <c r="H45" s="1864"/>
      <c r="I45" s="1741"/>
      <c r="J45" s="1775"/>
      <c r="K45" s="1867"/>
      <c r="L45" s="1864" t="s">
        <v>306</v>
      </c>
      <c r="M45" s="2172"/>
      <c r="N45" s="336"/>
      <c r="O45" s="1626"/>
      <c r="P45" s="1626"/>
      <c r="AH45" s="1633">
        <v>0</v>
      </c>
    </row>
    <row s="1637" customFormat="1" customHeight="1" ht="18.75" hidden="1">
      <c r="A46" s="1782"/>
      <c r="B46" s="1782"/>
      <c r="C46" s="371" t="s">
        <v>1146</v>
      </c>
      <c r="D46" s="2464"/>
      <c r="E46" s="2206"/>
      <c r="F46" s="2385"/>
      <c r="G46" s="2429"/>
      <c r="H46" s="1502"/>
      <c r="I46" s="653" t="s">
        <v>1147</v>
      </c>
      <c r="J46" s="573"/>
      <c r="K46" s="1502"/>
      <c r="L46" s="216"/>
      <c r="M46" s="2172"/>
      <c r="N46" s="336"/>
      <c r="O46" s="1626"/>
      <c r="P46" s="1626"/>
      <c r="AH46" s="1633">
        <v>0</v>
      </c>
    </row>
    <row s="1637" customFormat="1" customHeight="1" ht="0.75" hidden="1">
      <c r="A47" s="1782"/>
      <c r="B47" s="1782"/>
      <c r="C47" s="371" t="s">
        <v>1152</v>
      </c>
      <c r="D47" s="2464"/>
      <c r="E47" s="2206"/>
      <c r="F47" s="2385"/>
      <c r="G47" s="402"/>
      <c r="H47" s="1502"/>
      <c r="I47" s="653"/>
      <c r="J47" s="573"/>
      <c r="K47" s="1502"/>
      <c r="L47" s="216"/>
      <c r="M47" s="2172"/>
      <c r="N47" s="336"/>
      <c r="O47" s="1626"/>
      <c r="P47" s="1626"/>
      <c r="AH47" s="1633">
        <v>0</v>
      </c>
    </row>
    <row s="1637" customFormat="1" customHeight="1" ht="18.75" hidden="1">
      <c r="A48" s="1782" t="s">
        <v>205</v>
      </c>
      <c r="B48" s="1782" t="s">
        <v>206</v>
      </c>
      <c r="C48" s="371"/>
      <c r="D48" s="2464"/>
      <c r="E48" s="2206"/>
      <c r="F48" s="2385" t="str">
        <f>INDEX(PT_DIFFERENTIATION_VTAR,MATCH(A48,PT_DIFFERENTIATION_VTAR_ID,0))</f>
        <v>Плата за подключение (технологическое присоединение) к системе теплоснабжения (индивидуальная)</v>
      </c>
      <c r="G48" s="2429" t="str">
        <f>INDEX(PT_DIFFERENTIATION_NTAR,MATCH(B48,PT_DIFFERENTIATION_NTAR_ID,0))</f>
        <v/>
      </c>
      <c r="H48" s="1991"/>
      <c r="I48" s="1741"/>
      <c r="J48" s="1775"/>
      <c r="K48" s="1867"/>
      <c r="L48" s="1991" t="s">
        <v>306</v>
      </c>
      <c r="M48" s="2172"/>
      <c r="N48" s="336"/>
      <c r="O48" s="1626"/>
      <c r="P48" s="1626"/>
      <c r="AH48" s="1633">
        <v>0</v>
      </c>
    </row>
    <row s="1637" customFormat="1" customHeight="1" ht="18.75" hidden="1">
      <c r="A49" s="1782"/>
      <c r="B49" s="1782"/>
      <c r="C49" s="371" t="s">
        <v>1146</v>
      </c>
      <c r="D49" s="2464"/>
      <c r="E49" s="2206"/>
      <c r="F49" s="2385"/>
      <c r="G49" s="2429"/>
      <c r="H49" s="1502"/>
      <c r="I49" s="653" t="s">
        <v>1147</v>
      </c>
      <c r="J49" s="573"/>
      <c r="K49" s="1502"/>
      <c r="L49" s="216"/>
      <c r="M49" s="2172"/>
      <c r="N49" s="336"/>
      <c r="O49" s="1626"/>
      <c r="P49" s="1626"/>
      <c r="AH49" s="1633">
        <v>0</v>
      </c>
    </row>
    <row s="1637" customFormat="1" customHeight="1" ht="0.75" hidden="1">
      <c r="A50" s="1782"/>
      <c r="B50" s="1782"/>
      <c r="C50" s="371" t="s">
        <v>1152</v>
      </c>
      <c r="D50" s="2464"/>
      <c r="E50" s="2206"/>
      <c r="F50" s="2385"/>
      <c r="G50" s="402"/>
      <c r="H50" s="1502"/>
      <c r="I50" s="653"/>
      <c r="J50" s="573"/>
      <c r="K50" s="1502"/>
      <c r="L50" s="216"/>
      <c r="M50" s="2172"/>
      <c r="N50" s="336"/>
      <c r="O50" s="1626"/>
      <c r="P50" s="1626"/>
      <c r="AH50" s="1633">
        <v>0</v>
      </c>
    </row>
    <row s="1637" customFormat="1" customHeight="1" ht="18.75" hidden="1">
      <c r="A51" s="1782" t="s">
        <v>225</v>
      </c>
      <c r="B51" s="1782" t="s">
        <v>226</v>
      </c>
      <c r="C51" s="371"/>
      <c r="D51" s="2464"/>
      <c r="E51" s="2206"/>
      <c r="F51" s="2385" t="str">
        <f>INDEX(PT_DIFFERENTIATION_VTAR,MATCH(A51,PT_DIFFERENTIATION_VTAR_ID,0))</f>
        <v>Тариф на питьевую воду (питьевое водоснабжение)</v>
      </c>
      <c r="G51" s="2429" t="str">
        <f>INDEX(PT_DIFFERENTIATION_NTAR,MATCH(B51,PT_DIFFERENTIATION_NTAR_ID,0))</f>
        <v/>
      </c>
      <c r="H51" s="1864"/>
      <c r="I51" s="1741"/>
      <c r="J51" s="1775"/>
      <c r="K51" s="1867"/>
      <c r="L51" s="1864" t="s">
        <v>306</v>
      </c>
      <c r="M51" s="2172"/>
      <c r="N51" s="336"/>
      <c r="O51" s="1626"/>
      <c r="P51" s="1626"/>
      <c r="AH51" s="1633">
        <v>0</v>
      </c>
    </row>
    <row s="1637" customFormat="1" customHeight="1" ht="18.75" hidden="1">
      <c r="A52" s="1782"/>
      <c r="B52" s="1782"/>
      <c r="C52" s="371" t="s">
        <v>1146</v>
      </c>
      <c r="D52" s="2464"/>
      <c r="E52" s="2206"/>
      <c r="F52" s="2385"/>
      <c r="G52" s="2429"/>
      <c r="H52" s="1502"/>
      <c r="I52" s="653" t="s">
        <v>1147</v>
      </c>
      <c r="J52" s="573"/>
      <c r="K52" s="1502"/>
      <c r="L52" s="216"/>
      <c r="M52" s="2172"/>
      <c r="N52" s="336"/>
      <c r="O52" s="1626"/>
      <c r="P52" s="1626"/>
      <c r="AH52" s="1633">
        <v>0</v>
      </c>
    </row>
    <row s="1637" customFormat="1" customHeight="1" ht="0.75" hidden="1">
      <c r="A53" s="1782"/>
      <c r="B53" s="1782"/>
      <c r="C53" s="371" t="s">
        <v>1152</v>
      </c>
      <c r="D53" s="2464"/>
      <c r="E53" s="2206"/>
      <c r="F53" s="2385"/>
      <c r="G53" s="402"/>
      <c r="H53" s="1502"/>
      <c r="I53" s="653"/>
      <c r="J53" s="573"/>
      <c r="K53" s="1502"/>
      <c r="L53" s="216"/>
      <c r="M53" s="2172"/>
      <c r="N53" s="336"/>
      <c r="O53" s="1626"/>
      <c r="P53" s="1626"/>
      <c r="AH53" s="1633">
        <v>0</v>
      </c>
    </row>
    <row s="1637" customFormat="1" customHeight="1" ht="18.75" hidden="1">
      <c r="A54" s="1782" t="s">
        <v>230</v>
      </c>
      <c r="B54" s="1782" t="s">
        <v>231</v>
      </c>
      <c r="C54" s="371"/>
      <c r="D54" s="2464"/>
      <c r="E54" s="2206"/>
      <c r="F54" s="2385" t="str">
        <f>INDEX(PT_DIFFERENTIATION_VTAR,MATCH(A54,PT_DIFFERENTIATION_VTAR_ID,0))</f>
        <v>Тариф на техническую воду</v>
      </c>
      <c r="G54" s="2429" t="str">
        <f>INDEX(PT_DIFFERENTIATION_NTAR,MATCH(B54,PT_DIFFERENTIATION_NTAR_ID,0))</f>
        <v/>
      </c>
      <c r="H54" s="1864"/>
      <c r="I54" s="1741"/>
      <c r="J54" s="1775"/>
      <c r="K54" s="1867"/>
      <c r="L54" s="1864" t="s">
        <v>306</v>
      </c>
      <c r="M54" s="2172"/>
      <c r="N54" s="336"/>
      <c r="O54" s="1626"/>
      <c r="P54" s="1626"/>
      <c r="AH54" s="1633">
        <v>0</v>
      </c>
    </row>
    <row s="1637" customFormat="1" customHeight="1" ht="18.75" hidden="1">
      <c r="A55" s="1782"/>
      <c r="B55" s="1782"/>
      <c r="C55" s="371" t="s">
        <v>1146</v>
      </c>
      <c r="D55" s="2464"/>
      <c r="E55" s="2206"/>
      <c r="F55" s="2385"/>
      <c r="G55" s="2429"/>
      <c r="H55" s="1502"/>
      <c r="I55" s="653" t="s">
        <v>1147</v>
      </c>
      <c r="J55" s="573"/>
      <c r="K55" s="1502"/>
      <c r="L55" s="216"/>
      <c r="M55" s="2172"/>
      <c r="N55" s="336"/>
      <c r="O55" s="1626"/>
      <c r="P55" s="1626"/>
      <c r="AH55" s="1633">
        <v>0</v>
      </c>
    </row>
    <row s="1637" customFormat="1" customHeight="1" ht="0.75" hidden="1">
      <c r="A56" s="1782"/>
      <c r="B56" s="1782"/>
      <c r="C56" s="371" t="s">
        <v>1152</v>
      </c>
      <c r="D56" s="2464"/>
      <c r="E56" s="2206"/>
      <c r="F56" s="2385"/>
      <c r="G56" s="402"/>
      <c r="H56" s="1502"/>
      <c r="I56" s="653"/>
      <c r="J56" s="573"/>
      <c r="K56" s="1502"/>
      <c r="L56" s="216"/>
      <c r="M56" s="2172"/>
      <c r="N56" s="336"/>
      <c r="O56" s="1626"/>
      <c r="P56" s="1626"/>
      <c r="AH56" s="1633">
        <v>0</v>
      </c>
    </row>
    <row s="1637" customFormat="1" customHeight="1" ht="18.75" hidden="1">
      <c r="A57" s="1782" t="s">
        <v>235</v>
      </c>
      <c r="B57" s="1782" t="s">
        <v>236</v>
      </c>
      <c r="C57" s="371"/>
      <c r="D57" s="2464"/>
      <c r="E57" s="2206"/>
      <c r="F57" s="2385" t="str">
        <f>INDEX(PT_DIFFERENTIATION_VTAR,MATCH(A57,PT_DIFFERENTIATION_VTAR_ID,0))</f>
        <v>Тариф на транспортировку воды</v>
      </c>
      <c r="G57" s="2429" t="str">
        <f>INDEX(PT_DIFFERENTIATION_NTAR,MATCH(B57,PT_DIFFERENTIATION_NTAR_ID,0))</f>
        <v/>
      </c>
      <c r="H57" s="1864"/>
      <c r="I57" s="1741"/>
      <c r="J57" s="1775"/>
      <c r="K57" s="1867"/>
      <c r="L57" s="1864" t="s">
        <v>306</v>
      </c>
      <c r="M57" s="2172"/>
      <c r="N57" s="336"/>
      <c r="O57" s="1626"/>
      <c r="P57" s="1626"/>
      <c r="AH57" s="1633">
        <v>0</v>
      </c>
    </row>
    <row s="1637" customFormat="1" customHeight="1" ht="18.75" hidden="1">
      <c r="A58" s="1782"/>
      <c r="B58" s="1782"/>
      <c r="C58" s="371" t="s">
        <v>1146</v>
      </c>
      <c r="D58" s="2464"/>
      <c r="E58" s="2206"/>
      <c r="F58" s="2385"/>
      <c r="G58" s="2429"/>
      <c r="H58" s="1502"/>
      <c r="I58" s="653" t="s">
        <v>1147</v>
      </c>
      <c r="J58" s="573"/>
      <c r="K58" s="1502"/>
      <c r="L58" s="216"/>
      <c r="M58" s="2172"/>
      <c r="N58" s="336"/>
      <c r="O58" s="1626"/>
      <c r="P58" s="1626"/>
      <c r="AH58" s="1633">
        <v>0</v>
      </c>
    </row>
    <row s="1637" customFormat="1" customHeight="1" ht="0.75" hidden="1">
      <c r="A59" s="1782"/>
      <c r="B59" s="1782"/>
      <c r="C59" s="371" t="s">
        <v>1152</v>
      </c>
      <c r="D59" s="2464"/>
      <c r="E59" s="2206"/>
      <c r="F59" s="2385"/>
      <c r="G59" s="402"/>
      <c r="H59" s="1502"/>
      <c r="I59" s="653"/>
      <c r="J59" s="573"/>
      <c r="K59" s="1502"/>
      <c r="L59" s="216"/>
      <c r="M59" s="2172"/>
      <c r="N59" s="336"/>
      <c r="O59" s="1626"/>
      <c r="P59" s="1626"/>
      <c r="AH59" s="1633">
        <v>0</v>
      </c>
    </row>
    <row s="1637" customFormat="1" customHeight="1" ht="18.75" hidden="1">
      <c r="A60" s="1782" t="s">
        <v>240</v>
      </c>
      <c r="B60" s="1782" t="s">
        <v>241</v>
      </c>
      <c r="C60" s="371"/>
      <c r="D60" s="2464"/>
      <c r="E60" s="2206"/>
      <c r="F60" s="2385" t="str">
        <f>INDEX(PT_DIFFERENTIATION_VTAR,MATCH(A60,PT_DIFFERENTIATION_VTAR_ID,0))</f>
        <v>Тариф на подвоз воды</v>
      </c>
      <c r="G60" s="2429" t="str">
        <f>INDEX(PT_DIFFERENTIATION_NTAR,MATCH(B60,PT_DIFFERENTIATION_NTAR_ID,0))</f>
        <v/>
      </c>
      <c r="H60" s="1864"/>
      <c r="I60" s="1741"/>
      <c r="J60" s="1775"/>
      <c r="K60" s="1867"/>
      <c r="L60" s="1864" t="s">
        <v>306</v>
      </c>
      <c r="M60" s="2172"/>
      <c r="N60" s="336"/>
      <c r="O60" s="1626"/>
      <c r="P60" s="1626"/>
      <c r="AH60" s="1633">
        <v>0</v>
      </c>
    </row>
    <row s="1637" customFormat="1" customHeight="1" ht="18.75" hidden="1">
      <c r="A61" s="1782"/>
      <c r="B61" s="1782"/>
      <c r="C61" s="371" t="s">
        <v>1146</v>
      </c>
      <c r="D61" s="2464"/>
      <c r="E61" s="2206"/>
      <c r="F61" s="2385"/>
      <c r="G61" s="2429"/>
      <c r="H61" s="1502"/>
      <c r="I61" s="653" t="s">
        <v>1147</v>
      </c>
      <c r="J61" s="573"/>
      <c r="K61" s="1502"/>
      <c r="L61" s="216"/>
      <c r="M61" s="2172"/>
      <c r="N61" s="336"/>
      <c r="O61" s="1626"/>
      <c r="P61" s="1626"/>
      <c r="AH61" s="1633">
        <v>0</v>
      </c>
    </row>
    <row s="1637" customFormat="1" customHeight="1" ht="0.75" hidden="1">
      <c r="A62" s="1782"/>
      <c r="B62" s="1782"/>
      <c r="C62" s="371" t="s">
        <v>1152</v>
      </c>
      <c r="D62" s="2464"/>
      <c r="E62" s="2206"/>
      <c r="F62" s="2385"/>
      <c r="G62" s="402"/>
      <c r="H62" s="1502"/>
      <c r="I62" s="653"/>
      <c r="J62" s="573"/>
      <c r="K62" s="1502"/>
      <c r="L62" s="216"/>
      <c r="M62" s="2172"/>
      <c r="N62" s="336"/>
      <c r="O62" s="1626"/>
      <c r="P62" s="1626"/>
      <c r="AH62" s="1633">
        <v>0</v>
      </c>
    </row>
    <row s="1637" customFormat="1" customHeight="1" ht="18.75" hidden="1">
      <c r="A63" s="1782" t="s">
        <v>245</v>
      </c>
      <c r="B63" s="1782" t="s">
        <v>246</v>
      </c>
      <c r="C63" s="371"/>
      <c r="D63" s="2464"/>
      <c r="E63" s="2206"/>
      <c r="F63" s="238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9" t="str">
        <f>INDEX(PT_DIFFERENTIATION_NTAR,MATCH(B63,PT_DIFFERENTIATION_NTAR_ID,0))</f>
        <v/>
      </c>
      <c r="H63" s="1864"/>
      <c r="I63" s="1741"/>
      <c r="J63" s="1775"/>
      <c r="K63" s="1867"/>
      <c r="L63" s="1864" t="s">
        <v>306</v>
      </c>
      <c r="M63" s="2172"/>
      <c r="N63" s="336"/>
      <c r="O63" s="1626"/>
      <c r="P63" s="1626"/>
      <c r="AH63" s="1633">
        <v>0</v>
      </c>
    </row>
    <row s="1637" customFormat="1" customHeight="1" ht="18.75" hidden="1">
      <c r="A64" s="1782"/>
      <c r="B64" s="1782"/>
      <c r="C64" s="371" t="s">
        <v>1146</v>
      </c>
      <c r="D64" s="2464"/>
      <c r="E64" s="2206"/>
      <c r="F64" s="2385"/>
      <c r="G64" s="2429"/>
      <c r="H64" s="1502"/>
      <c r="I64" s="653" t="s">
        <v>1147</v>
      </c>
      <c r="J64" s="573"/>
      <c r="K64" s="1502"/>
      <c r="L64" s="216"/>
      <c r="M64" s="2172"/>
      <c r="N64" s="336"/>
      <c r="O64" s="1626"/>
      <c r="P64" s="1626"/>
      <c r="AH64" s="1633">
        <v>0</v>
      </c>
    </row>
    <row s="1637" customFormat="1" customHeight="1" ht="0.75" hidden="1">
      <c r="A65" s="1782"/>
      <c r="B65" s="1782"/>
      <c r="C65" s="371" t="s">
        <v>1152</v>
      </c>
      <c r="D65" s="2464"/>
      <c r="E65" s="2206"/>
      <c r="F65" s="2385"/>
      <c r="G65" s="402"/>
      <c r="H65" s="1502"/>
      <c r="I65" s="653"/>
      <c r="J65" s="573"/>
      <c r="K65" s="1502"/>
      <c r="L65" s="216"/>
      <c r="M65" s="2172"/>
      <c r="N65" s="336"/>
      <c r="O65" s="1626"/>
      <c r="P65" s="1626"/>
      <c r="AH65" s="1633">
        <v>0</v>
      </c>
    </row>
    <row s="1637" customFormat="1" customHeight="1" ht="18.75" hidden="1">
      <c r="A66" s="1782" t="s">
        <v>250</v>
      </c>
      <c r="B66" s="1782" t="s">
        <v>251</v>
      </c>
      <c r="C66" s="371"/>
      <c r="D66" s="2464"/>
      <c r="E66" s="2206"/>
      <c r="F66" s="2385" t="str">
        <f>INDEX(PT_DIFFERENTIATION_VTAR,MATCH(A66,PT_DIFFERENTIATION_VTAR_ID,0))</f>
        <v>Тариф на горячую воду (горячее водоснабжение)</v>
      </c>
      <c r="G66" s="2429" t="str">
        <f>INDEX(PT_DIFFERENTIATION_NTAR,MATCH(B66,PT_DIFFERENTIATION_NTAR_ID,0))</f>
        <v/>
      </c>
      <c r="H66" s="1864"/>
      <c r="I66" s="1741"/>
      <c r="J66" s="1775"/>
      <c r="K66" s="1867"/>
      <c r="L66" s="1864" t="s">
        <v>306</v>
      </c>
      <c r="M66" s="2172"/>
      <c r="N66" s="336"/>
      <c r="O66" s="1626"/>
      <c r="P66" s="1626"/>
      <c r="AH66" s="1633">
        <v>0</v>
      </c>
    </row>
    <row s="1637" customFormat="1" customHeight="1" ht="18.75" hidden="1">
      <c r="A67" s="1782"/>
      <c r="B67" s="1782"/>
      <c r="C67" s="371" t="s">
        <v>1146</v>
      </c>
      <c r="D67" s="2464"/>
      <c r="E67" s="2206"/>
      <c r="F67" s="2385"/>
      <c r="G67" s="2429"/>
      <c r="H67" s="1502"/>
      <c r="I67" s="653" t="s">
        <v>1147</v>
      </c>
      <c r="J67" s="573"/>
      <c r="K67" s="1502"/>
      <c r="L67" s="216"/>
      <c r="M67" s="2172"/>
      <c r="N67" s="336"/>
      <c r="O67" s="1626"/>
      <c r="P67" s="1626"/>
      <c r="AH67" s="1633">
        <v>0</v>
      </c>
    </row>
    <row s="1637" customFormat="1" customHeight="1" ht="0.75" hidden="1">
      <c r="A68" s="1782"/>
      <c r="B68" s="1782"/>
      <c r="C68" s="371" t="s">
        <v>1152</v>
      </c>
      <c r="D68" s="2464"/>
      <c r="E68" s="2206"/>
      <c r="F68" s="2385"/>
      <c r="G68" s="402"/>
      <c r="H68" s="1502"/>
      <c r="I68" s="653"/>
      <c r="J68" s="573"/>
      <c r="K68" s="1502"/>
      <c r="L68" s="216"/>
      <c r="M68" s="2172"/>
      <c r="N68" s="336"/>
      <c r="O68" s="1626"/>
      <c r="P68" s="1626"/>
      <c r="AH68" s="1633">
        <v>0</v>
      </c>
    </row>
    <row s="1637" customFormat="1" customHeight="1" ht="18.75" hidden="1">
      <c r="A69" s="1782" t="s">
        <v>255</v>
      </c>
      <c r="B69" s="1782" t="s">
        <v>256</v>
      </c>
      <c r="C69" s="371"/>
      <c r="D69" s="2464"/>
      <c r="E69" s="2206"/>
      <c r="F69" s="2385" t="str">
        <f>INDEX(PT_DIFFERENTIATION_VTAR,MATCH(A69,PT_DIFFERENTIATION_VTAR_ID,0))</f>
        <v>Тариф на транспортировку горячей воды</v>
      </c>
      <c r="G69" s="2429" t="str">
        <f>INDEX(PT_DIFFERENTIATION_NTAR,MATCH(B69,PT_DIFFERENTIATION_NTAR_ID,0))</f>
        <v/>
      </c>
      <c r="H69" s="1864"/>
      <c r="I69" s="1741"/>
      <c r="J69" s="1775"/>
      <c r="K69" s="1867"/>
      <c r="L69" s="1864" t="s">
        <v>306</v>
      </c>
      <c r="M69" s="2172"/>
      <c r="N69" s="336"/>
      <c r="O69" s="1626"/>
      <c r="P69" s="1626"/>
      <c r="AH69" s="1633">
        <v>0</v>
      </c>
    </row>
    <row s="1637" customFormat="1" customHeight="1" ht="18.75" hidden="1">
      <c r="A70" s="1782"/>
      <c r="B70" s="1782"/>
      <c r="C70" s="371" t="s">
        <v>1146</v>
      </c>
      <c r="D70" s="2464"/>
      <c r="E70" s="2206"/>
      <c r="F70" s="2385"/>
      <c r="G70" s="2429"/>
      <c r="H70" s="1502"/>
      <c r="I70" s="653" t="s">
        <v>1147</v>
      </c>
      <c r="J70" s="573"/>
      <c r="K70" s="1502"/>
      <c r="L70" s="216"/>
      <c r="M70" s="2172"/>
      <c r="N70" s="336"/>
      <c r="O70" s="1626"/>
      <c r="P70" s="1626"/>
      <c r="AH70" s="1633">
        <v>0</v>
      </c>
    </row>
    <row s="1637" customFormat="1" customHeight="1" ht="0.75" hidden="1">
      <c r="A71" s="1782"/>
      <c r="B71" s="1782"/>
      <c r="C71" s="371" t="s">
        <v>1152</v>
      </c>
      <c r="D71" s="2464"/>
      <c r="E71" s="2206"/>
      <c r="F71" s="2385"/>
      <c r="G71" s="402"/>
      <c r="H71" s="1502"/>
      <c r="I71" s="653"/>
      <c r="J71" s="573"/>
      <c r="K71" s="1502"/>
      <c r="L71" s="216"/>
      <c r="M71" s="2172"/>
      <c r="N71" s="336"/>
      <c r="O71" s="1626"/>
      <c r="P71" s="1626"/>
      <c r="AH71" s="1633">
        <v>0</v>
      </c>
    </row>
    <row s="1637" customFormat="1" customHeight="1" ht="18.75" hidden="1">
      <c r="A72" s="1782" t="s">
        <v>260</v>
      </c>
      <c r="B72" s="1782" t="s">
        <v>261</v>
      </c>
      <c r="C72" s="371"/>
      <c r="D72" s="2464"/>
      <c r="E72" s="2206"/>
      <c r="F72" s="2385" t="str">
        <f>INDEX(PT_DIFFERENTIATION_VTAR,MATCH(A72,PT_DIFFERENTIATION_VTAR_ID,0))</f>
        <v>Тариф на подключение (технологическое присоединение) к централизованной системе горячего водоснабжения</v>
      </c>
      <c r="G72" s="2429" t="str">
        <f>INDEX(PT_DIFFERENTIATION_NTAR,MATCH(B72,PT_DIFFERENTIATION_NTAR_ID,0))</f>
        <v/>
      </c>
      <c r="H72" s="1864"/>
      <c r="I72" s="1741"/>
      <c r="J72" s="1775"/>
      <c r="K72" s="1867"/>
      <c r="L72" s="1864" t="s">
        <v>306</v>
      </c>
      <c r="M72" s="2172"/>
      <c r="N72" s="336"/>
      <c r="O72" s="1626"/>
      <c r="P72" s="1626"/>
      <c r="AH72" s="1633">
        <v>0</v>
      </c>
    </row>
    <row s="1637" customFormat="1" customHeight="1" ht="18.75" hidden="1">
      <c r="A73" s="1782"/>
      <c r="B73" s="1782"/>
      <c r="C73" s="371" t="s">
        <v>1146</v>
      </c>
      <c r="D73" s="2464"/>
      <c r="E73" s="2206"/>
      <c r="F73" s="2385"/>
      <c r="G73" s="2429"/>
      <c r="H73" s="1502"/>
      <c r="I73" s="653" t="s">
        <v>1147</v>
      </c>
      <c r="J73" s="573"/>
      <c r="K73" s="1502"/>
      <c r="L73" s="216"/>
      <c r="M73" s="2172"/>
      <c r="N73" s="336"/>
      <c r="O73" s="1626"/>
      <c r="P73" s="1626"/>
      <c r="AH73" s="1633">
        <v>0</v>
      </c>
    </row>
    <row s="1637" customFormat="1" customHeight="1" ht="0.75" hidden="1">
      <c r="A74" s="1782"/>
      <c r="B74" s="1782"/>
      <c r="C74" s="371" t="s">
        <v>1152</v>
      </c>
      <c r="D74" s="2464"/>
      <c r="E74" s="2206"/>
      <c r="F74" s="2385"/>
      <c r="G74" s="402"/>
      <c r="H74" s="1502"/>
      <c r="I74" s="653"/>
      <c r="J74" s="573"/>
      <c r="K74" s="1502"/>
      <c r="L74" s="216"/>
      <c r="M74" s="2172"/>
      <c r="N74" s="336"/>
      <c r="O74" s="1626"/>
      <c r="P74" s="1626"/>
      <c r="AH74" s="1633">
        <v>0</v>
      </c>
    </row>
    <row s="1637" customFormat="1" customHeight="1" ht="18.75" hidden="1">
      <c r="A75" s="1782" t="s">
        <v>265</v>
      </c>
      <c r="B75" s="1782" t="s">
        <v>266</v>
      </c>
      <c r="C75" s="371"/>
      <c r="D75" s="2464"/>
      <c r="E75" s="2206"/>
      <c r="F75" s="2385" t="str">
        <f>INDEX(PT_DIFFERENTIATION_VTAR,MATCH(A75,PT_DIFFERENTIATION_VTAR_ID,0))</f>
        <v>Тариф на водоотведение</v>
      </c>
      <c r="G75" s="2429" t="str">
        <f>INDEX(PT_DIFFERENTIATION_NTAR,MATCH(B75,PT_DIFFERENTIATION_NTAR_ID,0))</f>
        <v/>
      </c>
      <c r="H75" s="1864"/>
      <c r="I75" s="1741"/>
      <c r="J75" s="1775"/>
      <c r="K75" s="1867"/>
      <c r="L75" s="1864" t="s">
        <v>306</v>
      </c>
      <c r="M75" s="2172"/>
      <c r="N75" s="336"/>
      <c r="O75" s="1626"/>
      <c r="P75" s="1626"/>
      <c r="AH75" s="1633">
        <v>0</v>
      </c>
    </row>
    <row s="1637" customFormat="1" customHeight="1" ht="18.75" hidden="1">
      <c r="A76" s="1782"/>
      <c r="B76" s="1782"/>
      <c r="C76" s="371" t="s">
        <v>1146</v>
      </c>
      <c r="D76" s="2464"/>
      <c r="E76" s="2206"/>
      <c r="F76" s="2385"/>
      <c r="G76" s="2429"/>
      <c r="H76" s="1502"/>
      <c r="I76" s="653" t="s">
        <v>1147</v>
      </c>
      <c r="J76" s="573"/>
      <c r="K76" s="1502"/>
      <c r="L76" s="216"/>
      <c r="M76" s="2172"/>
      <c r="N76" s="336"/>
      <c r="O76" s="1626"/>
      <c r="P76" s="1626"/>
      <c r="AH76" s="1633">
        <v>0</v>
      </c>
    </row>
    <row s="1637" customFormat="1" customHeight="1" ht="0.75" hidden="1">
      <c r="A77" s="1782"/>
      <c r="B77" s="1782"/>
      <c r="C77" s="371" t="s">
        <v>1152</v>
      </c>
      <c r="D77" s="2464"/>
      <c r="E77" s="2206"/>
      <c r="F77" s="2385"/>
      <c r="G77" s="402"/>
      <c r="H77" s="1502"/>
      <c r="I77" s="653"/>
      <c r="J77" s="573"/>
      <c r="K77" s="1502"/>
      <c r="L77" s="216"/>
      <c r="M77" s="2172"/>
      <c r="N77" s="336"/>
      <c r="O77" s="1626"/>
      <c r="P77" s="1626"/>
      <c r="AH77" s="1633">
        <v>0</v>
      </c>
    </row>
    <row s="1637" customFormat="1" customHeight="1" ht="18.75" hidden="1">
      <c r="A78" s="1782" t="s">
        <v>270</v>
      </c>
      <c r="B78" s="1782" t="s">
        <v>271</v>
      </c>
      <c r="C78" s="371"/>
      <c r="D78" s="2464"/>
      <c r="E78" s="2206"/>
      <c r="F78" s="2385" t="str">
        <f>INDEX(PT_DIFFERENTIATION_VTAR,MATCH(A78,PT_DIFFERENTIATION_VTAR_ID,0))</f>
        <v>Тариф на транспортировку сточных вод</v>
      </c>
      <c r="G78" s="2429" t="str">
        <f>INDEX(PT_DIFFERENTIATION_NTAR,MATCH(B78,PT_DIFFERENTIATION_NTAR_ID,0))</f>
        <v/>
      </c>
      <c r="H78" s="1864"/>
      <c r="I78" s="1741"/>
      <c r="J78" s="1775"/>
      <c r="K78" s="1867"/>
      <c r="L78" s="1864" t="s">
        <v>306</v>
      </c>
      <c r="M78" s="2172"/>
      <c r="N78" s="336"/>
      <c r="O78" s="1626"/>
      <c r="P78" s="1626"/>
      <c r="AH78" s="1633">
        <v>0</v>
      </c>
    </row>
    <row s="1637" customFormat="1" customHeight="1" ht="18.75" hidden="1">
      <c r="A79" s="1782"/>
      <c r="B79" s="1782"/>
      <c r="C79" s="371" t="s">
        <v>1146</v>
      </c>
      <c r="D79" s="2464"/>
      <c r="E79" s="2206"/>
      <c r="F79" s="2385"/>
      <c r="G79" s="2429"/>
      <c r="H79" s="1502"/>
      <c r="I79" s="653" t="s">
        <v>1147</v>
      </c>
      <c r="J79" s="573"/>
      <c r="K79" s="1502"/>
      <c r="L79" s="216"/>
      <c r="M79" s="2172"/>
      <c r="N79" s="336"/>
      <c r="O79" s="1626"/>
      <c r="P79" s="1626"/>
      <c r="AH79" s="1633">
        <v>0</v>
      </c>
    </row>
    <row s="1637" customFormat="1" customHeight="1" ht="0.75" hidden="1">
      <c r="A80" s="1782"/>
      <c r="B80" s="1782"/>
      <c r="C80" s="371" t="s">
        <v>1152</v>
      </c>
      <c r="D80" s="2464"/>
      <c r="E80" s="2206"/>
      <c r="F80" s="2385"/>
      <c r="G80" s="402"/>
      <c r="H80" s="1502"/>
      <c r="I80" s="653"/>
      <c r="J80" s="573"/>
      <c r="K80" s="1502"/>
      <c r="L80" s="216"/>
      <c r="M80" s="2172"/>
      <c r="N80" s="336"/>
      <c r="O80" s="1626"/>
      <c r="P80" s="1626"/>
      <c r="AH80" s="1633">
        <v>0</v>
      </c>
    </row>
    <row s="1637" customFormat="1" customHeight="1" ht="18.75" hidden="1">
      <c r="A81" s="1782" t="s">
        <v>275</v>
      </c>
      <c r="B81" s="1782" t="s">
        <v>276</v>
      </c>
      <c r="C81" s="371"/>
      <c r="D81" s="2464"/>
      <c r="E81" s="2206"/>
      <c r="F81" s="2385" t="str">
        <f>INDEX(PT_DIFFERENTIATION_VTAR,MATCH(A81,PT_DIFFERENTIATION_VTAR_ID,0))</f>
        <v>Тариф на подключение (технологическое присоединение) к централизованной системе водоотведения</v>
      </c>
      <c r="G81" s="2429" t="str">
        <f>INDEX(PT_DIFFERENTIATION_NTAR,MATCH(B81,PT_DIFFERENTIATION_NTAR_ID,0))</f>
        <v/>
      </c>
      <c r="H81" s="1864"/>
      <c r="I81" s="1741"/>
      <c r="J81" s="1775"/>
      <c r="K81" s="1867"/>
      <c r="L81" s="1864" t="s">
        <v>306</v>
      </c>
      <c r="M81" s="2172"/>
      <c r="N81" s="336"/>
      <c r="O81" s="1626"/>
      <c r="P81" s="1626"/>
      <c r="AH81" s="1633">
        <v>0</v>
      </c>
    </row>
    <row s="1637" customFormat="1" customHeight="1" ht="18.75" hidden="1">
      <c r="A82" s="1782"/>
      <c r="B82" s="1782"/>
      <c r="C82" s="371" t="s">
        <v>1146</v>
      </c>
      <c r="D82" s="2464"/>
      <c r="E82" s="2206"/>
      <c r="F82" s="2385"/>
      <c r="G82" s="2429"/>
      <c r="H82" s="1502"/>
      <c r="I82" s="653" t="s">
        <v>1147</v>
      </c>
      <c r="J82" s="573"/>
      <c r="K82" s="1502"/>
      <c r="L82" s="216"/>
      <c r="M82" s="2172"/>
      <c r="N82" s="336"/>
      <c r="O82" s="1626"/>
      <c r="P82" s="1626"/>
      <c r="AH82" s="1633">
        <v>0</v>
      </c>
    </row>
    <row s="1637" customFormat="1" customHeight="1" ht="1.05">
      <c r="A83" s="1782"/>
      <c r="B83" s="1782"/>
      <c r="C83" s="371" t="s">
        <v>1152</v>
      </c>
      <c r="D83" s="2464"/>
      <c r="E83" s="2206"/>
      <c r="F83" s="2385"/>
      <c r="G83" s="402"/>
      <c r="H83" s="1502"/>
      <c r="I83" s="653"/>
      <c r="J83" s="573"/>
      <c r="K83" s="1502"/>
      <c r="L83" s="216"/>
      <c r="M83" s="2172"/>
      <c r="N83" s="336"/>
      <c r="O83" s="1626"/>
      <c r="P83" s="1626"/>
      <c r="AH83" s="1633">
        <v>1</v>
      </c>
    </row>
    <row customHeight="1" ht="19.95">
      <c r="A84" s="1782"/>
      <c r="B84" s="1782"/>
      <c r="D84" s="378"/>
      <c r="E84" s="149" t="s">
        <v>110</v>
      </c>
      <c r="F84" s="246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2"/>
      <c r="H84" s="2462"/>
      <c r="I84" s="2462"/>
      <c r="J84" s="2462"/>
      <c r="K84" s="2462"/>
      <c r="L84" s="2462"/>
      <c r="M84" s="299"/>
      <c r="N84" s="336"/>
      <c r="AH84" s="376">
        <v>19</v>
      </c>
    </row>
    <row customHeight="1" ht="35.699999999999996">
      <c r="A85" s="1782"/>
      <c r="B85" s="1782"/>
      <c r="D85" s="378"/>
      <c r="E85" s="401"/>
      <c r="F85" s="200" t="s">
        <v>306</v>
      </c>
      <c r="G85" s="200" t="s">
        <v>306</v>
      </c>
      <c r="H85" s="2220" t="s">
        <v>306</v>
      </c>
      <c r="I85" s="2222"/>
      <c r="J85" s="200" t="s">
        <v>306</v>
      </c>
      <c r="K85" s="200" t="s">
        <v>306</v>
      </c>
      <c r="L85" s="403"/>
      <c r="M85" s="347" t="s">
        <v>1153</v>
      </c>
      <c r="N85" s="336"/>
      <c r="AH85" s="376">
        <v>34</v>
      </c>
    </row>
    <row customHeight="1" ht="19.95">
      <c r="A86" s="1782"/>
      <c r="B86" s="1782"/>
      <c r="D86" s="378"/>
      <c r="E86" s="149" t="s">
        <v>90</v>
      </c>
      <c r="F86" s="2462" t="s">
        <v>1154</v>
      </c>
      <c r="G86" s="2462"/>
      <c r="H86" s="2462"/>
      <c r="I86" s="2462"/>
      <c r="J86" s="2462"/>
      <c r="K86" s="2462"/>
      <c r="L86" s="2462"/>
      <c r="M86" s="299"/>
      <c r="N86" s="336"/>
      <c r="AH86" s="376">
        <v>19</v>
      </c>
    </row>
    <row s="1637" customFormat="1" customHeight="1" ht="60.75" hidden="1">
      <c r="A87" s="1782" t="s">
        <v>157</v>
      </c>
      <c r="B87" s="1782" t="s">
        <v>158</v>
      </c>
      <c r="C87" s="371"/>
      <c r="D87" s="2464"/>
      <c r="E87" s="2206"/>
      <c r="F87" s="238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9" t="str">
        <f>INDEX(PT_DIFFERENTIATION_NTAR,MATCH(B87,PT_DIFFERENTIATION_NTAR_ID,0))</f>
        <v/>
      </c>
      <c r="H87" s="1864"/>
      <c r="I87" s="1741"/>
      <c r="J87" s="1775"/>
      <c r="K87" s="1780"/>
      <c r="L87" s="1864" t="s">
        <v>306</v>
      </c>
      <c r="M87"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6"/>
      <c r="O87" s="1626"/>
      <c r="P87" s="1626"/>
      <c r="AH87" s="1633">
        <v>0</v>
      </c>
    </row>
    <row s="1637" customFormat="1" customHeight="1" ht="18.75" hidden="1">
      <c r="A88" s="1782"/>
      <c r="B88" s="1782"/>
      <c r="C88" s="371" t="s">
        <v>1148</v>
      </c>
      <c r="D88" s="2464"/>
      <c r="E88" s="2206"/>
      <c r="F88" s="2385"/>
      <c r="G88" s="2429"/>
      <c r="H88" s="1502"/>
      <c r="I88" s="653" t="s">
        <v>1147</v>
      </c>
      <c r="J88" s="573"/>
      <c r="K88" s="1502"/>
      <c r="L88" s="216"/>
      <c r="M88" s="2172"/>
      <c r="N88" s="336"/>
      <c r="O88" s="1626"/>
      <c r="P88" s="1626"/>
      <c r="AH88" s="1633">
        <v>0</v>
      </c>
    </row>
    <row s="1637" customFormat="1" customHeight="1" ht="0.75" hidden="1">
      <c r="A89" s="1782"/>
      <c r="B89" s="1782"/>
      <c r="C89" s="371" t="s">
        <v>1155</v>
      </c>
      <c r="D89" s="2464"/>
      <c r="E89" s="2206"/>
      <c r="F89" s="2385"/>
      <c r="G89" s="402"/>
      <c r="H89" s="1502"/>
      <c r="I89" s="653"/>
      <c r="J89" s="573"/>
      <c r="K89" s="1502"/>
      <c r="L89" s="216"/>
      <c r="M89" s="2172"/>
      <c r="N89" s="336"/>
      <c r="O89" s="1626"/>
      <c r="P89" s="1626"/>
      <c r="AH89" s="1633">
        <v>0</v>
      </c>
    </row>
    <row s="1637" customFormat="1" customHeight="1" ht="45" hidden="1">
      <c r="A90" s="1782" t="s">
        <v>162</v>
      </c>
      <c r="B90" s="1782" t="s">
        <v>163</v>
      </c>
      <c r="C90" s="371"/>
      <c r="D90" s="2464"/>
      <c r="E90" s="2206"/>
      <c r="F90" s="2385" t="str">
        <f>INDEX(PT_DIFFERENTIATION_VTAR,MATCH(A90,PT_DIFFERENTIATION_VTAR_ID,0))</f>
        <v/>
      </c>
      <c r="G90" s="2429" t="str">
        <f>INDEX(PT_DIFFERENTIATION_NTAR,MATCH(B90,PT_DIFFERENTIATION_NTAR_ID,0))</f>
        <v/>
      </c>
      <c r="H90" s="1864"/>
      <c r="I90" s="1741"/>
      <c r="J90" s="1775"/>
      <c r="K90" s="1780"/>
      <c r="L90" s="1864" t="s">
        <v>306</v>
      </c>
      <c r="M90" s="2173"/>
      <c r="N90" s="336"/>
      <c r="O90" s="1626"/>
      <c r="P90" s="1626"/>
      <c r="AH90" s="1633">
        <v>0</v>
      </c>
    </row>
    <row s="1637" customFormat="1" customHeight="1" ht="18.75" hidden="1">
      <c r="A91" s="1782"/>
      <c r="B91" s="1782"/>
      <c r="C91" s="371" t="s">
        <v>1148</v>
      </c>
      <c r="D91" s="2464"/>
      <c r="E91" s="2206"/>
      <c r="F91" s="2385"/>
      <c r="G91" s="2429"/>
      <c r="H91" s="1502"/>
      <c r="I91" s="653" t="s">
        <v>1147</v>
      </c>
      <c r="J91" s="573"/>
      <c r="K91" s="1502"/>
      <c r="L91" s="216"/>
      <c r="M91" s="1863"/>
      <c r="N91" s="336"/>
      <c r="O91" s="1626"/>
      <c r="P91" s="1626"/>
      <c r="AH91" s="1633">
        <v>0</v>
      </c>
    </row>
    <row s="1637" customFormat="1" customHeight="1" ht="0.75" hidden="1">
      <c r="A92" s="1782"/>
      <c r="B92" s="1782"/>
      <c r="C92" s="371" t="s">
        <v>1155</v>
      </c>
      <c r="D92" s="2464"/>
      <c r="E92" s="2206"/>
      <c r="F92" s="2385"/>
      <c r="G92" s="402"/>
      <c r="H92" s="1502"/>
      <c r="I92" s="653"/>
      <c r="J92" s="573"/>
      <c r="K92" s="1502"/>
      <c r="L92" s="216"/>
      <c r="M92" s="343"/>
      <c r="N92" s="336"/>
      <c r="O92" s="1626"/>
      <c r="P92" s="1626"/>
      <c r="AH92" s="1633">
        <v>0</v>
      </c>
    </row>
    <row s="1637" customFormat="1" customHeight="1" ht="45" hidden="1">
      <c r="A93" s="1782" t="s">
        <v>169</v>
      </c>
      <c r="B93" s="1782" t="s">
        <v>170</v>
      </c>
      <c r="C93" s="371"/>
      <c r="D93" s="2464"/>
      <c r="E93" s="2206"/>
      <c r="F93" s="238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9" t="str">
        <f>INDEX(PT_DIFFERENTIATION_NTAR,MATCH(B93,PT_DIFFERENTIATION_NTAR_ID,0))</f>
        <v/>
      </c>
      <c r="H93" s="1864"/>
      <c r="I93" s="1741"/>
      <c r="J93" s="1775"/>
      <c r="K93" s="1780"/>
      <c r="L93" s="1864" t="s">
        <v>306</v>
      </c>
      <c r="M93" s="343"/>
      <c r="N93" s="336"/>
      <c r="O93" s="1626"/>
      <c r="P93" s="1626"/>
      <c r="AH93" s="1633">
        <v>0</v>
      </c>
    </row>
    <row s="1637" customFormat="1" customHeight="1" ht="18.75" hidden="1">
      <c r="A94" s="1782"/>
      <c r="B94" s="1782"/>
      <c r="C94" s="371" t="s">
        <v>1148</v>
      </c>
      <c r="D94" s="2464"/>
      <c r="E94" s="2206"/>
      <c r="F94" s="2385"/>
      <c r="G94" s="2429"/>
      <c r="H94" s="1502"/>
      <c r="I94" s="653" t="s">
        <v>1147</v>
      </c>
      <c r="J94" s="573"/>
      <c r="K94" s="1502"/>
      <c r="L94" s="216"/>
      <c r="M94" s="343"/>
      <c r="N94" s="336"/>
      <c r="O94" s="1626"/>
      <c r="P94" s="1626"/>
      <c r="AH94" s="1633">
        <v>0</v>
      </c>
    </row>
    <row s="1637" customFormat="1" customHeight="1" ht="0.75" hidden="1">
      <c r="A95" s="1782"/>
      <c r="B95" s="1782"/>
      <c r="C95" s="371" t="s">
        <v>1155</v>
      </c>
      <c r="D95" s="2464"/>
      <c r="E95" s="2206"/>
      <c r="F95" s="2385"/>
      <c r="G95" s="402"/>
      <c r="H95" s="1502"/>
      <c r="I95" s="653"/>
      <c r="J95" s="573"/>
      <c r="K95" s="1502"/>
      <c r="L95" s="216"/>
      <c r="M95" s="343"/>
      <c r="N95" s="336"/>
      <c r="O95" s="1626"/>
      <c r="P95" s="1626"/>
      <c r="AH95" s="1633">
        <v>0</v>
      </c>
    </row>
    <row s="1637" customFormat="1" customHeight="1" ht="45" hidden="1">
      <c r="A96" s="1782" t="s">
        <v>175</v>
      </c>
      <c r="B96" s="1782" t="s">
        <v>176</v>
      </c>
      <c r="C96" s="371"/>
      <c r="D96" s="2464"/>
      <c r="E96" s="2206"/>
      <c r="F96" s="238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9" t="str">
        <f>INDEX(PT_DIFFERENTIATION_NTAR,MATCH(B96,PT_DIFFERENTIATION_NTAR_ID,0))</f>
        <v/>
      </c>
      <c r="H96" s="1864"/>
      <c r="I96" s="1741"/>
      <c r="J96" s="1775"/>
      <c r="K96" s="1780"/>
      <c r="L96" s="1864" t="s">
        <v>306</v>
      </c>
      <c r="M96" s="343"/>
      <c r="N96" s="336"/>
      <c r="O96" s="1626"/>
      <c r="P96" s="1626"/>
      <c r="AH96" s="1633">
        <v>0</v>
      </c>
    </row>
    <row s="1637" customFormat="1" customHeight="1" ht="18.75" hidden="1">
      <c r="A97" s="1782"/>
      <c r="B97" s="1782"/>
      <c r="C97" s="371" t="s">
        <v>1148</v>
      </c>
      <c r="D97" s="2464"/>
      <c r="E97" s="2206"/>
      <c r="F97" s="2385"/>
      <c r="G97" s="2429"/>
      <c r="H97" s="1502"/>
      <c r="I97" s="653" t="s">
        <v>1147</v>
      </c>
      <c r="J97" s="573"/>
      <c r="K97" s="1502"/>
      <c r="L97" s="216"/>
      <c r="M97" s="343"/>
      <c r="N97" s="336"/>
      <c r="O97" s="1626"/>
      <c r="P97" s="1626"/>
      <c r="AH97" s="1633">
        <v>0</v>
      </c>
    </row>
    <row s="1637" customFormat="1" customHeight="1" ht="0.75" hidden="1">
      <c r="A98" s="1782"/>
      <c r="B98" s="1782"/>
      <c r="C98" s="371" t="s">
        <v>1155</v>
      </c>
      <c r="D98" s="2464"/>
      <c r="E98" s="2206"/>
      <c r="F98" s="2385"/>
      <c r="G98" s="402"/>
      <c r="H98" s="1502"/>
      <c r="I98" s="653"/>
      <c r="J98" s="573"/>
      <c r="K98" s="1502"/>
      <c r="L98" s="216"/>
      <c r="M98" s="343"/>
      <c r="N98" s="336"/>
      <c r="O98" s="1626"/>
      <c r="P98" s="1626"/>
      <c r="AH98" s="1633">
        <v>0</v>
      </c>
    </row>
    <row s="1637" customFormat="1" customHeight="1" ht="18.75" hidden="1">
      <c r="A99" s="1782" t="s">
        <v>181</v>
      </c>
      <c r="B99" s="1782" t="s">
        <v>182</v>
      </c>
      <c r="C99" s="371"/>
      <c r="D99" s="2464"/>
      <c r="E99" s="2206"/>
      <c r="F99" s="2385" t="str">
        <f>INDEX(PT_DIFFERENTIATION_VTAR,MATCH(A99,PT_DIFFERENTIATION_VTAR_ID,0))</f>
        <v>Тарифы на услуги по передаче тепловой энергии</v>
      </c>
      <c r="G99" s="2429" t="str">
        <f>INDEX(PT_DIFFERENTIATION_NTAR,MATCH(B99,PT_DIFFERENTIATION_NTAR_ID,0))</f>
        <v/>
      </c>
      <c r="H99" s="1864"/>
      <c r="I99" s="1741"/>
      <c r="J99" s="1775"/>
      <c r="K99" s="1780"/>
      <c r="L99" s="1864" t="s">
        <v>306</v>
      </c>
      <c r="M99" s="343"/>
      <c r="N99" s="336"/>
      <c r="O99" s="1626"/>
      <c r="P99" s="1626"/>
      <c r="AH99" s="1633">
        <v>0</v>
      </c>
    </row>
    <row s="1637" customFormat="1" customHeight="1" ht="18.75" hidden="1">
      <c r="A100" s="1782"/>
      <c r="B100" s="1782"/>
      <c r="C100" s="371" t="s">
        <v>1148</v>
      </c>
      <c r="D100" s="2464"/>
      <c r="E100" s="2206"/>
      <c r="F100" s="2385"/>
      <c r="G100" s="2429"/>
      <c r="H100" s="1502"/>
      <c r="I100" s="653" t="s">
        <v>1147</v>
      </c>
      <c r="J100" s="573"/>
      <c r="K100" s="1502"/>
      <c r="L100" s="216"/>
      <c r="M100" s="343"/>
      <c r="N100" s="336"/>
      <c r="O100" s="1626"/>
      <c r="P100" s="1626"/>
      <c r="AH100" s="1633">
        <v>0</v>
      </c>
    </row>
    <row s="1637" customFormat="1" customHeight="1" ht="0.75" hidden="1">
      <c r="A101" s="1782"/>
      <c r="B101" s="1782"/>
      <c r="C101" s="371" t="s">
        <v>1155</v>
      </c>
      <c r="D101" s="2464"/>
      <c r="E101" s="2206"/>
      <c r="F101" s="2385"/>
      <c r="G101" s="402"/>
      <c r="H101" s="1502"/>
      <c r="I101" s="653"/>
      <c r="J101" s="573"/>
      <c r="K101" s="1502"/>
      <c r="L101" s="216"/>
      <c r="M101" s="343"/>
      <c r="N101" s="336"/>
      <c r="O101" s="1626"/>
      <c r="P101" s="1626"/>
      <c r="AH101" s="1633">
        <v>0</v>
      </c>
    </row>
    <row s="1637" customFormat="1" customHeight="1" ht="18.75" hidden="1">
      <c r="A102" s="1782" t="s">
        <v>187</v>
      </c>
      <c r="B102" s="1782" t="s">
        <v>188</v>
      </c>
      <c r="C102" s="371"/>
      <c r="D102" s="2464"/>
      <c r="E102" s="2206"/>
      <c r="F102" s="2385" t="str">
        <f>INDEX(PT_DIFFERENTIATION_VTAR,MATCH(A102,PT_DIFFERENTIATION_VTAR_ID,0))</f>
        <v>Тарифы на услуги по передаче теплоносителя</v>
      </c>
      <c r="G102" s="2429" t="str">
        <f>INDEX(PT_DIFFERENTIATION_NTAR,MATCH(B102,PT_DIFFERENTIATION_NTAR_ID,0))</f>
        <v/>
      </c>
      <c r="H102" s="1864"/>
      <c r="I102" s="1741"/>
      <c r="J102" s="1775"/>
      <c r="K102" s="1780"/>
      <c r="L102" s="1864" t="s">
        <v>306</v>
      </c>
      <c r="M102" s="343"/>
      <c r="N102" s="336"/>
      <c r="O102" s="1626"/>
      <c r="P102" s="1626"/>
      <c r="AH102" s="1633">
        <v>0</v>
      </c>
    </row>
    <row s="1637" customFormat="1" customHeight="1" ht="18.75" hidden="1">
      <c r="A103" s="1782"/>
      <c r="B103" s="1782"/>
      <c r="C103" s="371" t="s">
        <v>1148</v>
      </c>
      <c r="D103" s="2464"/>
      <c r="E103" s="2206"/>
      <c r="F103" s="2385"/>
      <c r="G103" s="2429"/>
      <c r="H103" s="1502"/>
      <c r="I103" s="653" t="s">
        <v>1147</v>
      </c>
      <c r="J103" s="573"/>
      <c r="K103" s="1502"/>
      <c r="L103" s="216"/>
      <c r="M103" s="343"/>
      <c r="N103" s="336"/>
      <c r="O103" s="1626"/>
      <c r="P103" s="1626"/>
      <c r="AH103" s="1633">
        <v>0</v>
      </c>
    </row>
    <row s="1637" customFormat="1" customHeight="1" ht="0.75" hidden="1">
      <c r="A104" s="1782"/>
      <c r="B104" s="1782"/>
      <c r="C104" s="371" t="s">
        <v>1155</v>
      </c>
      <c r="D104" s="2464"/>
      <c r="E104" s="2206"/>
      <c r="F104" s="2385"/>
      <c r="G104" s="402"/>
      <c r="H104" s="1502"/>
      <c r="I104" s="653"/>
      <c r="J104" s="573"/>
      <c r="K104" s="1502"/>
      <c r="L104" s="216"/>
      <c r="M104" s="343"/>
      <c r="N104" s="336"/>
      <c r="O104" s="1626"/>
      <c r="P104" s="1626"/>
      <c r="AH104" s="1633">
        <v>0</v>
      </c>
    </row>
    <row s="1637" customFormat="1" customHeight="1" ht="18.75" hidden="1">
      <c r="A105" s="1782" t="s">
        <v>193</v>
      </c>
      <c r="B105" s="1782" t="s">
        <v>194</v>
      </c>
      <c r="C105" s="371"/>
      <c r="D105" s="2464"/>
      <c r="E105" s="2206"/>
      <c r="F105" s="238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9" t="str">
        <f>INDEX(PT_DIFFERENTIATION_NTAR,MATCH(B105,PT_DIFFERENTIATION_NTAR_ID,0))</f>
        <v/>
      </c>
      <c r="H105" s="1864"/>
      <c r="I105" s="1741"/>
      <c r="J105" s="1775"/>
      <c r="K105" s="1780"/>
      <c r="L105" s="1864" t="s">
        <v>306</v>
      </c>
      <c r="M105" s="343"/>
      <c r="N105" s="336"/>
      <c r="O105" s="1626"/>
      <c r="P105" s="1626"/>
      <c r="AH105" s="1633">
        <v>0</v>
      </c>
    </row>
    <row s="1637" customFormat="1" customHeight="1" ht="18.75" hidden="1">
      <c r="A106" s="1782"/>
      <c r="B106" s="1782"/>
      <c r="C106" s="371" t="s">
        <v>1148</v>
      </c>
      <c r="D106" s="2464"/>
      <c r="E106" s="2206"/>
      <c r="F106" s="2385"/>
      <c r="G106" s="2429"/>
      <c r="H106" s="1502"/>
      <c r="I106" s="653" t="s">
        <v>1147</v>
      </c>
      <c r="J106" s="573"/>
      <c r="K106" s="1502"/>
      <c r="L106" s="216"/>
      <c r="M106" s="343"/>
      <c r="N106" s="336"/>
      <c r="O106" s="1626"/>
      <c r="P106" s="1626"/>
      <c r="AH106" s="1633">
        <v>0</v>
      </c>
    </row>
    <row s="1637" customFormat="1" customHeight="1" ht="0.75" hidden="1">
      <c r="A107" s="1782"/>
      <c r="B107" s="1782"/>
      <c r="C107" s="371" t="s">
        <v>1155</v>
      </c>
      <c r="D107" s="2464"/>
      <c r="E107" s="2206"/>
      <c r="F107" s="2385"/>
      <c r="G107" s="402"/>
      <c r="H107" s="1502"/>
      <c r="I107" s="653"/>
      <c r="J107" s="573"/>
      <c r="K107" s="1502"/>
      <c r="L107" s="216"/>
      <c r="M107" s="343"/>
      <c r="N107" s="336"/>
      <c r="O107" s="1626"/>
      <c r="P107" s="1626"/>
      <c r="AH107" s="1633">
        <v>0</v>
      </c>
    </row>
    <row s="1637" customFormat="1" customHeight="1" ht="18.75" hidden="1">
      <c r="A108" s="1782" t="s">
        <v>199</v>
      </c>
      <c r="B108" s="1782" t="s">
        <v>200</v>
      </c>
      <c r="C108" s="371"/>
      <c r="D108" s="2464"/>
      <c r="E108" s="2206"/>
      <c r="F108" s="2385" t="str">
        <f>INDEX(PT_DIFFERENTIATION_VTAR,MATCH(A108,PT_DIFFERENTIATION_VTAR_ID,0))</f>
        <v>Плата за подключение (технологическое присоединение) к системе теплоснабжения</v>
      </c>
      <c r="G108" s="2429" t="str">
        <f>INDEX(PT_DIFFERENTIATION_NTAR,MATCH(B108,PT_DIFFERENTIATION_NTAR_ID,0))</f>
        <v/>
      </c>
      <c r="H108" s="1864"/>
      <c r="I108" s="1741"/>
      <c r="J108" s="1775"/>
      <c r="K108" s="1780"/>
      <c r="L108" s="1864" t="s">
        <v>306</v>
      </c>
      <c r="M108" s="343"/>
      <c r="N108" s="336"/>
      <c r="O108" s="1626"/>
      <c r="P108" s="1626"/>
      <c r="AH108" s="1633">
        <v>0</v>
      </c>
    </row>
    <row s="1637" customFormat="1" customHeight="1" ht="18.75" hidden="1">
      <c r="A109" s="1782"/>
      <c r="B109" s="1782"/>
      <c r="C109" s="371" t="s">
        <v>1148</v>
      </c>
      <c r="D109" s="2464"/>
      <c r="E109" s="2206"/>
      <c r="F109" s="2385"/>
      <c r="G109" s="2429"/>
      <c r="H109" s="1502"/>
      <c r="I109" s="653" t="s">
        <v>1147</v>
      </c>
      <c r="J109" s="573"/>
      <c r="K109" s="1502"/>
      <c r="L109" s="216"/>
      <c r="M109" s="343"/>
      <c r="N109" s="336"/>
      <c r="O109" s="1626"/>
      <c r="P109" s="1626"/>
      <c r="AH109" s="1633">
        <v>0</v>
      </c>
    </row>
    <row s="1637" customFormat="1" customHeight="1" ht="0.75" hidden="1">
      <c r="A110" s="1782"/>
      <c r="B110" s="1782"/>
      <c r="C110" s="371" t="s">
        <v>1155</v>
      </c>
      <c r="D110" s="2464"/>
      <c r="E110" s="2206"/>
      <c r="F110" s="2385"/>
      <c r="G110" s="402"/>
      <c r="H110" s="1502"/>
      <c r="I110" s="653"/>
      <c r="J110" s="573"/>
      <c r="K110" s="1502"/>
      <c r="L110" s="216"/>
      <c r="M110" s="343"/>
      <c r="N110" s="336"/>
      <c r="O110" s="1626"/>
      <c r="P110" s="1626"/>
      <c r="AH110" s="1633">
        <v>0</v>
      </c>
    </row>
    <row s="1637" customFormat="1" customHeight="1" ht="18.75" hidden="1">
      <c r="A111" s="1782" t="s">
        <v>205</v>
      </c>
      <c r="B111" s="1782" t="s">
        <v>206</v>
      </c>
      <c r="C111" s="371"/>
      <c r="D111" s="2464"/>
      <c r="E111" s="2206"/>
      <c r="F111" s="2385" t="str">
        <f>INDEX(PT_DIFFERENTIATION_VTAR,MATCH(A111,PT_DIFFERENTIATION_VTAR_ID,0))</f>
        <v>Плата за подключение (технологическое присоединение) к системе теплоснабжения (индивидуальная)</v>
      </c>
      <c r="G111" s="2429" t="str">
        <f>INDEX(PT_DIFFERENTIATION_NTAR,MATCH(B111,PT_DIFFERENTIATION_NTAR_ID,0))</f>
        <v/>
      </c>
      <c r="H111" s="1991"/>
      <c r="I111" s="1741"/>
      <c r="J111" s="1775"/>
      <c r="K111" s="1780"/>
      <c r="L111" s="1991" t="s">
        <v>306</v>
      </c>
      <c r="M111" s="343"/>
      <c r="N111" s="336"/>
      <c r="O111" s="1626"/>
      <c r="P111" s="1626"/>
      <c r="AH111" s="1633">
        <v>0</v>
      </c>
    </row>
    <row s="1637" customFormat="1" customHeight="1" ht="18.75" hidden="1">
      <c r="A112" s="1782"/>
      <c r="B112" s="1782"/>
      <c r="C112" s="371" t="s">
        <v>1148</v>
      </c>
      <c r="D112" s="2464"/>
      <c r="E112" s="2206"/>
      <c r="F112" s="2385"/>
      <c r="G112" s="2429"/>
      <c r="H112" s="1502"/>
      <c r="I112" s="653" t="s">
        <v>1147</v>
      </c>
      <c r="J112" s="573"/>
      <c r="K112" s="1502"/>
      <c r="L112" s="216"/>
      <c r="M112" s="343"/>
      <c r="N112" s="336"/>
      <c r="O112" s="1626"/>
      <c r="P112" s="1626"/>
      <c r="AH112" s="1633">
        <v>0</v>
      </c>
    </row>
    <row s="1637" customFormat="1" customHeight="1" ht="0.75" hidden="1">
      <c r="A113" s="1782"/>
      <c r="B113" s="1782"/>
      <c r="C113" s="371" t="s">
        <v>1155</v>
      </c>
      <c r="D113" s="2464"/>
      <c r="E113" s="2206"/>
      <c r="F113" s="2385"/>
      <c r="G113" s="402"/>
      <c r="H113" s="1502"/>
      <c r="I113" s="653"/>
      <c r="J113" s="573"/>
      <c r="K113" s="1502"/>
      <c r="L113" s="216"/>
      <c r="M113" s="343"/>
      <c r="N113" s="336"/>
      <c r="O113" s="1626"/>
      <c r="P113" s="1626"/>
      <c r="AH113" s="1633">
        <v>0</v>
      </c>
    </row>
    <row s="1637" customFormat="1" customHeight="1" ht="18.75" hidden="1">
      <c r="A114" s="1782" t="s">
        <v>225</v>
      </c>
      <c r="B114" s="1782" t="s">
        <v>226</v>
      </c>
      <c r="C114" s="371"/>
      <c r="D114" s="2464"/>
      <c r="E114" s="2206"/>
      <c r="F114" s="2385" t="str">
        <f>INDEX(PT_DIFFERENTIATION_VTAR,MATCH(A114,PT_DIFFERENTIATION_VTAR_ID,0))</f>
        <v>Тариф на питьевую воду (питьевое водоснабжение)</v>
      </c>
      <c r="G114" s="2429" t="str">
        <f>INDEX(PT_DIFFERENTIATION_NTAR,MATCH(B114,PT_DIFFERENTIATION_NTAR_ID,0))</f>
        <v/>
      </c>
      <c r="H114" s="1864"/>
      <c r="I114" s="1741"/>
      <c r="J114" s="1775"/>
      <c r="K114" s="1780"/>
      <c r="L114" s="1864" t="s">
        <v>306</v>
      </c>
      <c r="M114" s="343"/>
      <c r="N114" s="336"/>
      <c r="O114" s="1626"/>
      <c r="P114" s="1626"/>
      <c r="AH114" s="1633">
        <v>0</v>
      </c>
    </row>
    <row s="1637" customFormat="1" customHeight="1" ht="18.75" hidden="1">
      <c r="A115" s="1782"/>
      <c r="B115" s="1782"/>
      <c r="C115" s="371" t="s">
        <v>1148</v>
      </c>
      <c r="D115" s="2464"/>
      <c r="E115" s="2206"/>
      <c r="F115" s="2385"/>
      <c r="G115" s="2429"/>
      <c r="H115" s="1502"/>
      <c r="I115" s="653" t="s">
        <v>1147</v>
      </c>
      <c r="J115" s="573"/>
      <c r="K115" s="1502"/>
      <c r="L115" s="216"/>
      <c r="M115" s="343"/>
      <c r="N115" s="336"/>
      <c r="O115" s="1626"/>
      <c r="P115" s="1626"/>
      <c r="AH115" s="1633">
        <v>0</v>
      </c>
    </row>
    <row s="1637" customFormat="1" customHeight="1" ht="0.75" hidden="1">
      <c r="A116" s="1782"/>
      <c r="B116" s="1782"/>
      <c r="C116" s="371" t="s">
        <v>1155</v>
      </c>
      <c r="D116" s="2464"/>
      <c r="E116" s="2206"/>
      <c r="F116" s="2385"/>
      <c r="G116" s="402"/>
      <c r="H116" s="1502"/>
      <c r="I116" s="653"/>
      <c r="J116" s="573"/>
      <c r="K116" s="1502"/>
      <c r="L116" s="216"/>
      <c r="M116" s="343"/>
      <c r="N116" s="336"/>
      <c r="O116" s="1626"/>
      <c r="P116" s="1626"/>
      <c r="AH116" s="1633">
        <v>0</v>
      </c>
    </row>
    <row s="1637" customFormat="1" customHeight="1" ht="18.75" hidden="1">
      <c r="A117" s="1782" t="s">
        <v>230</v>
      </c>
      <c r="B117" s="1782" t="s">
        <v>231</v>
      </c>
      <c r="C117" s="371"/>
      <c r="D117" s="2464"/>
      <c r="E117" s="2206"/>
      <c r="F117" s="2385" t="str">
        <f>INDEX(PT_DIFFERENTIATION_VTAR,MATCH(A117,PT_DIFFERENTIATION_VTAR_ID,0))</f>
        <v>Тариф на техническую воду</v>
      </c>
      <c r="G117" s="2429" t="str">
        <f>INDEX(PT_DIFFERENTIATION_NTAR,MATCH(B117,PT_DIFFERENTIATION_NTAR_ID,0))</f>
        <v/>
      </c>
      <c r="H117" s="1864"/>
      <c r="I117" s="1741"/>
      <c r="J117" s="1775"/>
      <c r="K117" s="1780"/>
      <c r="L117" s="1864" t="s">
        <v>306</v>
      </c>
      <c r="M117" s="343"/>
      <c r="N117" s="336"/>
      <c r="O117" s="1626"/>
      <c r="P117" s="1626"/>
      <c r="AH117" s="1633">
        <v>0</v>
      </c>
    </row>
    <row s="1637" customFormat="1" customHeight="1" ht="18.75" hidden="1">
      <c r="A118" s="1782"/>
      <c r="B118" s="1782"/>
      <c r="C118" s="371" t="s">
        <v>1148</v>
      </c>
      <c r="D118" s="2464"/>
      <c r="E118" s="2206"/>
      <c r="F118" s="2385"/>
      <c r="G118" s="2429"/>
      <c r="H118" s="1502"/>
      <c r="I118" s="653" t="s">
        <v>1147</v>
      </c>
      <c r="J118" s="573"/>
      <c r="K118" s="1502"/>
      <c r="L118" s="216"/>
      <c r="M118" s="343"/>
      <c r="N118" s="336"/>
      <c r="O118" s="1626"/>
      <c r="P118" s="1626"/>
      <c r="AH118" s="1633">
        <v>0</v>
      </c>
    </row>
    <row s="1637" customFormat="1" customHeight="1" ht="0.75" hidden="1">
      <c r="A119" s="1782"/>
      <c r="B119" s="1782"/>
      <c r="C119" s="371" t="s">
        <v>1155</v>
      </c>
      <c r="D119" s="2464"/>
      <c r="E119" s="2206"/>
      <c r="F119" s="2385"/>
      <c r="G119" s="402"/>
      <c r="H119" s="1502"/>
      <c r="I119" s="653"/>
      <c r="J119" s="573"/>
      <c r="K119" s="1502"/>
      <c r="L119" s="216"/>
      <c r="M119" s="343"/>
      <c r="N119" s="336"/>
      <c r="O119" s="1626"/>
      <c r="P119" s="1626"/>
      <c r="AH119" s="1633">
        <v>0</v>
      </c>
    </row>
    <row s="1637" customFormat="1" customHeight="1" ht="18.75" hidden="1">
      <c r="A120" s="1782" t="s">
        <v>235</v>
      </c>
      <c r="B120" s="1782" t="s">
        <v>236</v>
      </c>
      <c r="C120" s="371"/>
      <c r="D120" s="2464"/>
      <c r="E120" s="2206"/>
      <c r="F120" s="2385" t="str">
        <f>INDEX(PT_DIFFERENTIATION_VTAR,MATCH(A120,PT_DIFFERENTIATION_VTAR_ID,0))</f>
        <v>Тариф на транспортировку воды</v>
      </c>
      <c r="G120" s="2429" t="str">
        <f>INDEX(PT_DIFFERENTIATION_NTAR,MATCH(B120,PT_DIFFERENTIATION_NTAR_ID,0))</f>
        <v/>
      </c>
      <c r="H120" s="1864"/>
      <c r="I120" s="1741"/>
      <c r="J120" s="1775"/>
      <c r="K120" s="1780"/>
      <c r="L120" s="1864" t="s">
        <v>306</v>
      </c>
      <c r="M120" s="343"/>
      <c r="N120" s="336"/>
      <c r="O120" s="1626"/>
      <c r="P120" s="1626"/>
      <c r="AH120" s="1633">
        <v>0</v>
      </c>
    </row>
    <row s="1637" customFormat="1" customHeight="1" ht="18.75" hidden="1">
      <c r="A121" s="1782"/>
      <c r="B121" s="1782"/>
      <c r="C121" s="371" t="s">
        <v>1148</v>
      </c>
      <c r="D121" s="2464"/>
      <c r="E121" s="2206"/>
      <c r="F121" s="2385"/>
      <c r="G121" s="2429"/>
      <c r="H121" s="1502"/>
      <c r="I121" s="653" t="s">
        <v>1147</v>
      </c>
      <c r="J121" s="573"/>
      <c r="K121" s="1502"/>
      <c r="L121" s="216"/>
      <c r="M121" s="343"/>
      <c r="N121" s="336"/>
      <c r="O121" s="1626"/>
      <c r="P121" s="1626"/>
      <c r="AH121" s="1633">
        <v>0</v>
      </c>
    </row>
    <row s="1637" customFormat="1" customHeight="1" ht="0.75" hidden="1">
      <c r="A122" s="1782"/>
      <c r="B122" s="1782"/>
      <c r="C122" s="371" t="s">
        <v>1155</v>
      </c>
      <c r="D122" s="2464"/>
      <c r="E122" s="2206"/>
      <c r="F122" s="2385"/>
      <c r="G122" s="402"/>
      <c r="H122" s="1502"/>
      <c r="I122" s="653"/>
      <c r="J122" s="573"/>
      <c r="K122" s="1502"/>
      <c r="L122" s="216"/>
      <c r="M122" s="343"/>
      <c r="N122" s="336"/>
      <c r="O122" s="1626"/>
      <c r="P122" s="1626"/>
      <c r="AH122" s="1633">
        <v>0</v>
      </c>
    </row>
    <row s="1637" customFormat="1" customHeight="1" ht="18.75" hidden="1">
      <c r="A123" s="1782" t="s">
        <v>240</v>
      </c>
      <c r="B123" s="1782" t="s">
        <v>241</v>
      </c>
      <c r="C123" s="371"/>
      <c r="D123" s="2464"/>
      <c r="E123" s="2206"/>
      <c r="F123" s="2385" t="str">
        <f>INDEX(PT_DIFFERENTIATION_VTAR,MATCH(A123,PT_DIFFERENTIATION_VTAR_ID,0))</f>
        <v>Тариф на подвоз воды</v>
      </c>
      <c r="G123" s="2429" t="str">
        <f>INDEX(PT_DIFFERENTIATION_NTAR,MATCH(B123,PT_DIFFERENTIATION_NTAR_ID,0))</f>
        <v/>
      </c>
      <c r="H123" s="1864"/>
      <c r="I123" s="1741"/>
      <c r="J123" s="1775"/>
      <c r="K123" s="1780"/>
      <c r="L123" s="1864" t="s">
        <v>306</v>
      </c>
      <c r="M123" s="343"/>
      <c r="N123" s="336"/>
      <c r="O123" s="1626"/>
      <c r="P123" s="1626"/>
      <c r="AH123" s="1633">
        <v>0</v>
      </c>
    </row>
    <row s="1637" customFormat="1" customHeight="1" ht="18.75" hidden="1">
      <c r="A124" s="1782"/>
      <c r="B124" s="1782"/>
      <c r="C124" s="371" t="s">
        <v>1148</v>
      </c>
      <c r="D124" s="2464"/>
      <c r="E124" s="2206"/>
      <c r="F124" s="2385"/>
      <c r="G124" s="2429"/>
      <c r="H124" s="1502"/>
      <c r="I124" s="653" t="s">
        <v>1147</v>
      </c>
      <c r="J124" s="573"/>
      <c r="K124" s="1502"/>
      <c r="L124" s="216"/>
      <c r="M124" s="343"/>
      <c r="N124" s="336"/>
      <c r="O124" s="1626"/>
      <c r="P124" s="1626"/>
      <c r="AH124" s="1633">
        <v>0</v>
      </c>
    </row>
    <row s="1637" customFormat="1" customHeight="1" ht="0.75" hidden="1">
      <c r="A125" s="1782"/>
      <c r="B125" s="1782"/>
      <c r="C125" s="371" t="s">
        <v>1155</v>
      </c>
      <c r="D125" s="2464"/>
      <c r="E125" s="2206"/>
      <c r="F125" s="2385"/>
      <c r="G125" s="402"/>
      <c r="H125" s="1502"/>
      <c r="I125" s="653"/>
      <c r="J125" s="573"/>
      <c r="K125" s="1502"/>
      <c r="L125" s="216"/>
      <c r="M125" s="343"/>
      <c r="N125" s="336"/>
      <c r="O125" s="1626"/>
      <c r="P125" s="1626"/>
      <c r="AH125" s="1633">
        <v>0</v>
      </c>
    </row>
    <row s="1637" customFormat="1" customHeight="1" ht="18.75" hidden="1">
      <c r="A126" s="1782" t="s">
        <v>245</v>
      </c>
      <c r="B126" s="1782" t="s">
        <v>246</v>
      </c>
      <c r="C126" s="371"/>
      <c r="D126" s="2464"/>
      <c r="E126" s="2206"/>
      <c r="F126" s="238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9" t="str">
        <f>INDEX(PT_DIFFERENTIATION_NTAR,MATCH(B126,PT_DIFFERENTIATION_NTAR_ID,0))</f>
        <v/>
      </c>
      <c r="H126" s="1864"/>
      <c r="I126" s="1741"/>
      <c r="J126" s="1775"/>
      <c r="K126" s="1780"/>
      <c r="L126" s="1864" t="s">
        <v>306</v>
      </c>
      <c r="M126" s="343"/>
      <c r="N126" s="336"/>
      <c r="O126" s="1626"/>
      <c r="P126" s="1626"/>
      <c r="AH126" s="1633">
        <v>0</v>
      </c>
    </row>
    <row s="1637" customFormat="1" customHeight="1" ht="18.75" hidden="1">
      <c r="A127" s="1782"/>
      <c r="B127" s="1782"/>
      <c r="C127" s="371" t="s">
        <v>1148</v>
      </c>
      <c r="D127" s="2464"/>
      <c r="E127" s="2206"/>
      <c r="F127" s="2385"/>
      <c r="G127" s="2429"/>
      <c r="H127" s="1502"/>
      <c r="I127" s="653" t="s">
        <v>1147</v>
      </c>
      <c r="J127" s="573"/>
      <c r="K127" s="1502"/>
      <c r="L127" s="216"/>
      <c r="M127" s="343"/>
      <c r="N127" s="336"/>
      <c r="O127" s="1626"/>
      <c r="P127" s="1626"/>
      <c r="AH127" s="1633">
        <v>0</v>
      </c>
    </row>
    <row s="1637" customFormat="1" customHeight="1" ht="0.75" hidden="1">
      <c r="A128" s="1782"/>
      <c r="B128" s="1782"/>
      <c r="C128" s="371" t="s">
        <v>1155</v>
      </c>
      <c r="D128" s="2464"/>
      <c r="E128" s="2206"/>
      <c r="F128" s="2385"/>
      <c r="G128" s="402"/>
      <c r="H128" s="1502"/>
      <c r="I128" s="653"/>
      <c r="J128" s="573"/>
      <c r="K128" s="1502"/>
      <c r="L128" s="216"/>
      <c r="M128" s="343"/>
      <c r="N128" s="336"/>
      <c r="O128" s="1626"/>
      <c r="P128" s="1626"/>
      <c r="AH128" s="1633">
        <v>0</v>
      </c>
    </row>
    <row s="1637" customFormat="1" customHeight="1" ht="18.75" hidden="1">
      <c r="A129" s="1782" t="s">
        <v>250</v>
      </c>
      <c r="B129" s="1782" t="s">
        <v>251</v>
      </c>
      <c r="C129" s="371"/>
      <c r="D129" s="2464"/>
      <c r="E129" s="2206"/>
      <c r="F129" s="2385" t="str">
        <f>INDEX(PT_DIFFERENTIATION_VTAR,MATCH(A129,PT_DIFFERENTIATION_VTAR_ID,0))</f>
        <v>Тариф на горячую воду (горячее водоснабжение)</v>
      </c>
      <c r="G129" s="2429" t="str">
        <f>INDEX(PT_DIFFERENTIATION_NTAR,MATCH(B129,PT_DIFFERENTIATION_NTAR_ID,0))</f>
        <v/>
      </c>
      <c r="H129" s="1864"/>
      <c r="I129" s="1741"/>
      <c r="J129" s="1775"/>
      <c r="K129" s="1780"/>
      <c r="L129" s="1864" t="s">
        <v>306</v>
      </c>
      <c r="M129" s="343"/>
      <c r="N129" s="336"/>
      <c r="O129" s="1626"/>
      <c r="P129" s="1626"/>
      <c r="AH129" s="1633">
        <v>0</v>
      </c>
    </row>
    <row s="1637" customFormat="1" customHeight="1" ht="18.75" hidden="1">
      <c r="A130" s="1782"/>
      <c r="B130" s="1782"/>
      <c r="C130" s="371" t="s">
        <v>1148</v>
      </c>
      <c r="D130" s="2464"/>
      <c r="E130" s="2206"/>
      <c r="F130" s="2385"/>
      <c r="G130" s="2429"/>
      <c r="H130" s="1502"/>
      <c r="I130" s="653" t="s">
        <v>1147</v>
      </c>
      <c r="J130" s="573"/>
      <c r="K130" s="1502"/>
      <c r="L130" s="216"/>
      <c r="M130" s="343"/>
      <c r="N130" s="336"/>
      <c r="O130" s="1626"/>
      <c r="P130" s="1626"/>
      <c r="AH130" s="1633">
        <v>0</v>
      </c>
    </row>
    <row s="1637" customFormat="1" customHeight="1" ht="0.75" hidden="1">
      <c r="A131" s="1782"/>
      <c r="B131" s="1782"/>
      <c r="C131" s="371" t="s">
        <v>1155</v>
      </c>
      <c r="D131" s="2464"/>
      <c r="E131" s="2206"/>
      <c r="F131" s="2385"/>
      <c r="G131" s="402"/>
      <c r="H131" s="1502"/>
      <c r="I131" s="653"/>
      <c r="J131" s="573"/>
      <c r="K131" s="1502"/>
      <c r="L131" s="216"/>
      <c r="M131" s="343"/>
      <c r="N131" s="336"/>
      <c r="O131" s="1626"/>
      <c r="P131" s="1626"/>
      <c r="AH131" s="1633">
        <v>0</v>
      </c>
    </row>
    <row s="1637" customFormat="1" customHeight="1" ht="18.75" hidden="1">
      <c r="A132" s="1782" t="s">
        <v>255</v>
      </c>
      <c r="B132" s="1782" t="s">
        <v>256</v>
      </c>
      <c r="C132" s="371"/>
      <c r="D132" s="2464"/>
      <c r="E132" s="2206"/>
      <c r="F132" s="2385" t="str">
        <f>INDEX(PT_DIFFERENTIATION_VTAR,MATCH(A132,PT_DIFFERENTIATION_VTAR_ID,0))</f>
        <v>Тариф на транспортировку горячей воды</v>
      </c>
      <c r="G132" s="2429" t="str">
        <f>INDEX(PT_DIFFERENTIATION_NTAR,MATCH(B132,PT_DIFFERENTIATION_NTAR_ID,0))</f>
        <v/>
      </c>
      <c r="H132" s="1864"/>
      <c r="I132" s="1741"/>
      <c r="J132" s="1775"/>
      <c r="K132" s="1780"/>
      <c r="L132" s="1864" t="s">
        <v>306</v>
      </c>
      <c r="M132" s="343"/>
      <c r="N132" s="336"/>
      <c r="O132" s="1626"/>
      <c r="P132" s="1626"/>
      <c r="AH132" s="1633">
        <v>0</v>
      </c>
    </row>
    <row s="1637" customFormat="1" customHeight="1" ht="18.75" hidden="1">
      <c r="A133" s="1782"/>
      <c r="B133" s="1782"/>
      <c r="C133" s="371" t="s">
        <v>1148</v>
      </c>
      <c r="D133" s="2464"/>
      <c r="E133" s="2206"/>
      <c r="F133" s="2385"/>
      <c r="G133" s="2429"/>
      <c r="H133" s="1502"/>
      <c r="I133" s="653" t="s">
        <v>1147</v>
      </c>
      <c r="J133" s="573"/>
      <c r="K133" s="1502"/>
      <c r="L133" s="216"/>
      <c r="M133" s="343"/>
      <c r="N133" s="336"/>
      <c r="O133" s="1626"/>
      <c r="P133" s="1626"/>
      <c r="AH133" s="1633">
        <v>0</v>
      </c>
    </row>
    <row s="1637" customFormat="1" customHeight="1" ht="0.75" hidden="1">
      <c r="A134" s="1782"/>
      <c r="B134" s="1782"/>
      <c r="C134" s="371" t="s">
        <v>1155</v>
      </c>
      <c r="D134" s="2464"/>
      <c r="E134" s="2206"/>
      <c r="F134" s="2385"/>
      <c r="G134" s="402"/>
      <c r="H134" s="1502"/>
      <c r="I134" s="653"/>
      <c r="J134" s="573"/>
      <c r="K134" s="1502"/>
      <c r="L134" s="216"/>
      <c r="M134" s="343"/>
      <c r="N134" s="336"/>
      <c r="O134" s="1626"/>
      <c r="P134" s="1626"/>
      <c r="AH134" s="1633">
        <v>0</v>
      </c>
    </row>
    <row s="1637" customFormat="1" customHeight="1" ht="18.75" hidden="1">
      <c r="A135" s="1782" t="s">
        <v>260</v>
      </c>
      <c r="B135" s="1782" t="s">
        <v>261</v>
      </c>
      <c r="C135" s="371"/>
      <c r="D135" s="2464"/>
      <c r="E135" s="2206"/>
      <c r="F135" s="238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9" t="str">
        <f>INDEX(PT_DIFFERENTIATION_NTAR,MATCH(B135,PT_DIFFERENTIATION_NTAR_ID,0))</f>
        <v/>
      </c>
      <c r="H135" s="1864"/>
      <c r="I135" s="1741"/>
      <c r="J135" s="1775"/>
      <c r="K135" s="1780"/>
      <c r="L135" s="1864" t="s">
        <v>306</v>
      </c>
      <c r="M135" s="343"/>
      <c r="N135" s="336"/>
      <c r="O135" s="1626"/>
      <c r="P135" s="1626"/>
      <c r="AH135" s="1633">
        <v>0</v>
      </c>
    </row>
    <row s="1637" customFormat="1" customHeight="1" ht="18.75" hidden="1">
      <c r="A136" s="1782"/>
      <c r="B136" s="1782"/>
      <c r="C136" s="371" t="s">
        <v>1148</v>
      </c>
      <c r="D136" s="2464"/>
      <c r="E136" s="2206"/>
      <c r="F136" s="2385"/>
      <c r="G136" s="2429"/>
      <c r="H136" s="1502"/>
      <c r="I136" s="653" t="s">
        <v>1147</v>
      </c>
      <c r="J136" s="573"/>
      <c r="K136" s="1502"/>
      <c r="L136" s="216"/>
      <c r="M136" s="343"/>
      <c r="N136" s="336"/>
      <c r="O136" s="1626"/>
      <c r="P136" s="1626"/>
      <c r="AH136" s="1633">
        <v>0</v>
      </c>
    </row>
    <row s="1637" customFormat="1" customHeight="1" ht="0.75" hidden="1">
      <c r="A137" s="1782"/>
      <c r="B137" s="1782"/>
      <c r="C137" s="371" t="s">
        <v>1155</v>
      </c>
      <c r="D137" s="2464"/>
      <c r="E137" s="2206"/>
      <c r="F137" s="2385"/>
      <c r="G137" s="402"/>
      <c r="H137" s="1502"/>
      <c r="I137" s="653"/>
      <c r="J137" s="573"/>
      <c r="K137" s="1502"/>
      <c r="L137" s="216"/>
      <c r="M137" s="343"/>
      <c r="N137" s="336"/>
      <c r="O137" s="1626"/>
      <c r="P137" s="1626"/>
      <c r="AH137" s="1633">
        <v>0</v>
      </c>
    </row>
    <row s="1637" customFormat="1" customHeight="1" ht="18.75" hidden="1">
      <c r="A138" s="1782" t="s">
        <v>265</v>
      </c>
      <c r="B138" s="1782" t="s">
        <v>266</v>
      </c>
      <c r="C138" s="371"/>
      <c r="D138" s="2464"/>
      <c r="E138" s="2206"/>
      <c r="F138" s="2385" t="str">
        <f>INDEX(PT_DIFFERENTIATION_VTAR,MATCH(A138,PT_DIFFERENTIATION_VTAR_ID,0))</f>
        <v>Тариф на водоотведение</v>
      </c>
      <c r="G138" s="2429" t="str">
        <f>INDEX(PT_DIFFERENTIATION_NTAR,MATCH(B138,PT_DIFFERENTIATION_NTAR_ID,0))</f>
        <v/>
      </c>
      <c r="H138" s="1864"/>
      <c r="I138" s="1741"/>
      <c r="J138" s="1775"/>
      <c r="K138" s="1780"/>
      <c r="L138" s="1864" t="s">
        <v>306</v>
      </c>
      <c r="M138" s="343"/>
      <c r="N138" s="336"/>
      <c r="O138" s="1626"/>
      <c r="P138" s="1626"/>
      <c r="AH138" s="1633">
        <v>0</v>
      </c>
    </row>
    <row s="1637" customFormat="1" customHeight="1" ht="18.75" hidden="1">
      <c r="A139" s="1782"/>
      <c r="B139" s="1782"/>
      <c r="C139" s="371" t="s">
        <v>1148</v>
      </c>
      <c r="D139" s="2464"/>
      <c r="E139" s="2206"/>
      <c r="F139" s="2385"/>
      <c r="G139" s="2429"/>
      <c r="H139" s="1502"/>
      <c r="I139" s="653" t="s">
        <v>1147</v>
      </c>
      <c r="J139" s="573"/>
      <c r="K139" s="1502"/>
      <c r="L139" s="216"/>
      <c r="M139" s="343"/>
      <c r="N139" s="336"/>
      <c r="O139" s="1626"/>
      <c r="P139" s="1626"/>
      <c r="AH139" s="1633">
        <v>0</v>
      </c>
    </row>
    <row s="1637" customFormat="1" customHeight="1" ht="0.75" hidden="1">
      <c r="A140" s="1782"/>
      <c r="B140" s="1782"/>
      <c r="C140" s="371" t="s">
        <v>1155</v>
      </c>
      <c r="D140" s="2464"/>
      <c r="E140" s="2206"/>
      <c r="F140" s="2385"/>
      <c r="G140" s="402"/>
      <c r="H140" s="1502"/>
      <c r="I140" s="653"/>
      <c r="J140" s="573"/>
      <c r="K140" s="1502"/>
      <c r="L140" s="216"/>
      <c r="M140" s="343"/>
      <c r="N140" s="336"/>
      <c r="O140" s="1626"/>
      <c r="P140" s="1626"/>
      <c r="AH140" s="1633">
        <v>0</v>
      </c>
    </row>
    <row s="1637" customFormat="1" customHeight="1" ht="18.75" hidden="1">
      <c r="A141" s="1782" t="s">
        <v>270</v>
      </c>
      <c r="B141" s="1782" t="s">
        <v>271</v>
      </c>
      <c r="C141" s="371"/>
      <c r="D141" s="2464"/>
      <c r="E141" s="2206"/>
      <c r="F141" s="2385" t="str">
        <f>INDEX(PT_DIFFERENTIATION_VTAR,MATCH(A141,PT_DIFFERENTIATION_VTAR_ID,0))</f>
        <v>Тариф на транспортировку сточных вод</v>
      </c>
      <c r="G141" s="2429" t="str">
        <f>INDEX(PT_DIFFERENTIATION_NTAR,MATCH(B141,PT_DIFFERENTIATION_NTAR_ID,0))</f>
        <v/>
      </c>
      <c r="H141" s="1864"/>
      <c r="I141" s="1741"/>
      <c r="J141" s="1775"/>
      <c r="K141" s="1780"/>
      <c r="L141" s="1864" t="s">
        <v>306</v>
      </c>
      <c r="M141" s="343"/>
      <c r="N141" s="336"/>
      <c r="O141" s="1626"/>
      <c r="P141" s="1626"/>
      <c r="AH141" s="1633">
        <v>0</v>
      </c>
    </row>
    <row s="1637" customFormat="1" customHeight="1" ht="18.75" hidden="1">
      <c r="A142" s="1782"/>
      <c r="B142" s="1782"/>
      <c r="C142" s="371" t="s">
        <v>1148</v>
      </c>
      <c r="D142" s="2464"/>
      <c r="E142" s="2206"/>
      <c r="F142" s="2385"/>
      <c r="G142" s="2429"/>
      <c r="H142" s="1502"/>
      <c r="I142" s="653" t="s">
        <v>1147</v>
      </c>
      <c r="J142" s="573"/>
      <c r="K142" s="1502"/>
      <c r="L142" s="216"/>
      <c r="M142" s="343"/>
      <c r="N142" s="336"/>
      <c r="O142" s="1626"/>
      <c r="P142" s="1626"/>
      <c r="AH142" s="1633">
        <v>0</v>
      </c>
    </row>
    <row s="1637" customFormat="1" customHeight="1" ht="0.75" hidden="1">
      <c r="A143" s="1782"/>
      <c r="B143" s="1782"/>
      <c r="C143" s="371" t="s">
        <v>1155</v>
      </c>
      <c r="D143" s="2464"/>
      <c r="E143" s="2206"/>
      <c r="F143" s="2385"/>
      <c r="G143" s="402"/>
      <c r="H143" s="1502"/>
      <c r="I143" s="653"/>
      <c r="J143" s="573"/>
      <c r="K143" s="1502"/>
      <c r="L143" s="216"/>
      <c r="M143" s="343"/>
      <c r="N143" s="336"/>
      <c r="O143" s="1626"/>
      <c r="P143" s="1626"/>
      <c r="AH143" s="1633">
        <v>0</v>
      </c>
    </row>
    <row s="1637" customFormat="1" customHeight="1" ht="18.75" hidden="1">
      <c r="A144" s="1782" t="s">
        <v>275</v>
      </c>
      <c r="B144" s="1782" t="s">
        <v>276</v>
      </c>
      <c r="C144" s="371"/>
      <c r="D144" s="2464"/>
      <c r="E144" s="2206"/>
      <c r="F144" s="2385" t="str">
        <f>INDEX(PT_DIFFERENTIATION_VTAR,MATCH(A144,PT_DIFFERENTIATION_VTAR_ID,0))</f>
        <v>Тариф на подключение (технологическое присоединение) к централизованной системе водоотведения</v>
      </c>
      <c r="G144" s="2429" t="str">
        <f>INDEX(PT_DIFFERENTIATION_NTAR,MATCH(B144,PT_DIFFERENTIATION_NTAR_ID,0))</f>
        <v/>
      </c>
      <c r="H144" s="1864"/>
      <c r="I144" s="1741"/>
      <c r="J144" s="1775"/>
      <c r="K144" s="1780"/>
      <c r="L144" s="1864" t="s">
        <v>306</v>
      </c>
      <c r="M144" s="343"/>
      <c r="N144" s="336"/>
      <c r="O144" s="1626"/>
      <c r="P144" s="1626"/>
      <c r="AH144" s="1633">
        <v>0</v>
      </c>
    </row>
    <row s="1637" customFormat="1" customHeight="1" ht="18.75" hidden="1">
      <c r="A145" s="1782"/>
      <c r="B145" s="1782"/>
      <c r="C145" s="371" t="s">
        <v>1148</v>
      </c>
      <c r="D145" s="2464"/>
      <c r="E145" s="2206"/>
      <c r="F145" s="2385"/>
      <c r="G145" s="2429"/>
      <c r="H145" s="1502"/>
      <c r="I145" s="653" t="s">
        <v>1147</v>
      </c>
      <c r="J145" s="573"/>
      <c r="K145" s="1502"/>
      <c r="L145" s="216"/>
      <c r="M145" s="343"/>
      <c r="N145" s="336"/>
      <c r="O145" s="1626"/>
      <c r="P145" s="1626"/>
      <c r="AH145" s="1633">
        <v>0</v>
      </c>
    </row>
    <row s="1637" customFormat="1" customHeight="1" ht="1.05">
      <c r="A146" s="1782"/>
      <c r="B146" s="1782"/>
      <c r="C146" s="371" t="s">
        <v>1155</v>
      </c>
      <c r="D146" s="2464"/>
      <c r="E146" s="2206"/>
      <c r="F146" s="2385"/>
      <c r="G146" s="402"/>
      <c r="H146" s="1502"/>
      <c r="I146" s="653"/>
      <c r="J146" s="573"/>
      <c r="K146" s="1502"/>
      <c r="L146" s="216"/>
      <c r="M146" s="343"/>
      <c r="N146" s="336"/>
      <c r="O146" s="1626"/>
      <c r="P146" s="1626"/>
      <c r="AH146" s="1633">
        <v>1</v>
      </c>
    </row>
    <row customHeight="1" ht="19.95">
      <c r="A147" s="1782"/>
      <c r="B147" s="1782"/>
      <c r="D147" s="378"/>
      <c r="E147" s="149" t="s">
        <v>91</v>
      </c>
      <c r="F147" s="246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2"/>
      <c r="H147" s="2462"/>
      <c r="I147" s="2462"/>
      <c r="J147" s="2462"/>
      <c r="K147" s="2462"/>
      <c r="L147" s="2462"/>
      <c r="M147" s="299"/>
      <c r="N147" s="336"/>
      <c r="AH147" s="376">
        <v>19</v>
      </c>
    </row>
    <row s="1637" customFormat="1" customHeight="1" ht="60.75" hidden="1">
      <c r="A148" s="1782" t="s">
        <v>157</v>
      </c>
      <c r="B148" s="1782" t="s">
        <v>158</v>
      </c>
      <c r="C148" s="371"/>
      <c r="D148" s="2464"/>
      <c r="E148" s="2206"/>
      <c r="F148" s="238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9" t="str">
        <f>INDEX(PT_DIFFERENTIATION_NTAR,MATCH(B148,PT_DIFFERENTIATION_NTAR_ID,0))</f>
        <v/>
      </c>
      <c r="H148" s="1864"/>
      <c r="I148" s="1741"/>
      <c r="J148" s="1775"/>
      <c r="K148" s="1780"/>
      <c r="L148" s="1864" t="s">
        <v>306</v>
      </c>
      <c r="M148"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6"/>
      <c r="O148" s="1626"/>
      <c r="P148" s="1626"/>
      <c r="AH148" s="1633">
        <v>0</v>
      </c>
    </row>
    <row s="1637" customFormat="1" customHeight="1" ht="18.75" hidden="1">
      <c r="A149" s="1782"/>
      <c r="B149" s="1782"/>
      <c r="C149" s="371" t="s">
        <v>1148</v>
      </c>
      <c r="D149" s="2464"/>
      <c r="E149" s="2206"/>
      <c r="F149" s="2385"/>
      <c r="G149" s="2429"/>
      <c r="H149" s="1502"/>
      <c r="I149" s="653" t="s">
        <v>1147</v>
      </c>
      <c r="J149" s="573"/>
      <c r="K149" s="1502"/>
      <c r="L149" s="216"/>
      <c r="M149" s="2172"/>
      <c r="N149" s="336"/>
      <c r="O149" s="1626"/>
      <c r="P149" s="1626"/>
      <c r="AH149" s="1633">
        <v>0</v>
      </c>
    </row>
    <row s="1637" customFormat="1" customHeight="1" ht="0.75" hidden="1">
      <c r="A150" s="1782"/>
      <c r="B150" s="1782"/>
      <c r="C150" s="371" t="s">
        <v>1155</v>
      </c>
      <c r="D150" s="2464"/>
      <c r="E150" s="2206"/>
      <c r="F150" s="2385"/>
      <c r="G150" s="402"/>
      <c r="H150" s="1502"/>
      <c r="I150" s="653"/>
      <c r="J150" s="573"/>
      <c r="K150" s="1502"/>
      <c r="L150" s="216"/>
      <c r="M150" s="2172"/>
      <c r="N150" s="336"/>
      <c r="O150" s="1626"/>
      <c r="P150" s="1626"/>
      <c r="AH150" s="1633">
        <v>0</v>
      </c>
    </row>
    <row s="1637" customFormat="1" customHeight="1" ht="45" hidden="1">
      <c r="A151" s="1782" t="s">
        <v>162</v>
      </c>
      <c r="B151" s="1782" t="s">
        <v>163</v>
      </c>
      <c r="C151" s="371"/>
      <c r="D151" s="2464"/>
      <c r="E151" s="2206"/>
      <c r="F151" s="2385" t="str">
        <f>INDEX(PT_DIFFERENTIATION_VTAR,MATCH(A151,PT_DIFFERENTIATION_VTAR_ID,0))</f>
        <v/>
      </c>
      <c r="G151" s="2429" t="str">
        <f>INDEX(PT_DIFFERENTIATION_NTAR,MATCH(B151,PT_DIFFERENTIATION_NTAR_ID,0))</f>
        <v/>
      </c>
      <c r="H151" s="1864"/>
      <c r="I151" s="1741"/>
      <c r="J151" s="1775"/>
      <c r="K151" s="1780"/>
      <c r="L151" s="1864" t="s">
        <v>306</v>
      </c>
      <c r="M151" s="2173"/>
      <c r="N151" s="336"/>
      <c r="O151" s="1626"/>
      <c r="P151" s="1626"/>
      <c r="AH151" s="1633">
        <v>0</v>
      </c>
    </row>
    <row s="1637" customFormat="1" customHeight="1" ht="18.75" hidden="1">
      <c r="A152" s="1782"/>
      <c r="B152" s="1782"/>
      <c r="C152" s="371" t="s">
        <v>1148</v>
      </c>
      <c r="D152" s="2464"/>
      <c r="E152" s="2206"/>
      <c r="F152" s="2385"/>
      <c r="G152" s="2429"/>
      <c r="H152" s="1502"/>
      <c r="I152" s="653" t="s">
        <v>1147</v>
      </c>
      <c r="J152" s="573"/>
      <c r="K152" s="1502"/>
      <c r="L152" s="216"/>
      <c r="M152" s="1863"/>
      <c r="N152" s="336"/>
      <c r="O152" s="1626"/>
      <c r="P152" s="1626"/>
      <c r="AH152" s="1633">
        <v>0</v>
      </c>
    </row>
    <row s="1637" customFormat="1" customHeight="1" ht="0.75" hidden="1">
      <c r="A153" s="1782"/>
      <c r="B153" s="1782"/>
      <c r="C153" s="371" t="s">
        <v>1155</v>
      </c>
      <c r="D153" s="2464"/>
      <c r="E153" s="2206"/>
      <c r="F153" s="2385"/>
      <c r="G153" s="402"/>
      <c r="H153" s="1502"/>
      <c r="I153" s="653"/>
      <c r="J153" s="573"/>
      <c r="K153" s="1502"/>
      <c r="L153" s="216"/>
      <c r="M153" s="343"/>
      <c r="N153" s="336"/>
      <c r="O153" s="1626"/>
      <c r="P153" s="1626"/>
      <c r="AH153" s="1633">
        <v>0</v>
      </c>
    </row>
    <row s="1637" customFormat="1" customHeight="1" ht="45" hidden="1">
      <c r="A154" s="1782" t="s">
        <v>169</v>
      </c>
      <c r="B154" s="1782" t="s">
        <v>170</v>
      </c>
      <c r="C154" s="371"/>
      <c r="D154" s="2464"/>
      <c r="E154" s="2206"/>
      <c r="F154" s="238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9" t="str">
        <f>INDEX(PT_DIFFERENTIATION_NTAR,MATCH(B154,PT_DIFFERENTIATION_NTAR_ID,0))</f>
        <v/>
      </c>
      <c r="H154" s="1864"/>
      <c r="I154" s="1741"/>
      <c r="J154" s="1775"/>
      <c r="K154" s="1780"/>
      <c r="L154" s="1864" t="s">
        <v>306</v>
      </c>
      <c r="M154" s="343"/>
      <c r="N154" s="336"/>
      <c r="O154" s="1626"/>
      <c r="P154" s="1626"/>
      <c r="AH154" s="1633">
        <v>0</v>
      </c>
    </row>
    <row s="1637" customFormat="1" customHeight="1" ht="18.75" hidden="1">
      <c r="A155" s="1782"/>
      <c r="B155" s="1782"/>
      <c r="C155" s="371" t="s">
        <v>1148</v>
      </c>
      <c r="D155" s="2464"/>
      <c r="E155" s="2206"/>
      <c r="F155" s="2385"/>
      <c r="G155" s="2429"/>
      <c r="H155" s="1502"/>
      <c r="I155" s="653" t="s">
        <v>1147</v>
      </c>
      <c r="J155" s="573"/>
      <c r="K155" s="1502"/>
      <c r="L155" s="216"/>
      <c r="M155" s="343"/>
      <c r="N155" s="336"/>
      <c r="O155" s="1626"/>
      <c r="P155" s="1626"/>
      <c r="AH155" s="1633">
        <v>0</v>
      </c>
    </row>
    <row s="1637" customFormat="1" customHeight="1" ht="0.75" hidden="1">
      <c r="A156" s="1782"/>
      <c r="B156" s="1782"/>
      <c r="C156" s="371" t="s">
        <v>1155</v>
      </c>
      <c r="D156" s="2464"/>
      <c r="E156" s="2206"/>
      <c r="F156" s="2385"/>
      <c r="G156" s="402"/>
      <c r="H156" s="1502"/>
      <c r="I156" s="653"/>
      <c r="J156" s="573"/>
      <c r="K156" s="1502"/>
      <c r="L156" s="216"/>
      <c r="M156" s="343"/>
      <c r="N156" s="336"/>
      <c r="O156" s="1626"/>
      <c r="P156" s="1626"/>
      <c r="AH156" s="1633">
        <v>0</v>
      </c>
    </row>
    <row s="1637" customFormat="1" customHeight="1" ht="45" hidden="1">
      <c r="A157" s="1782" t="s">
        <v>175</v>
      </c>
      <c r="B157" s="1782" t="s">
        <v>176</v>
      </c>
      <c r="C157" s="371"/>
      <c r="D157" s="2464"/>
      <c r="E157" s="2206"/>
      <c r="F157" s="238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9" t="str">
        <f>INDEX(PT_DIFFERENTIATION_NTAR,MATCH(B157,PT_DIFFERENTIATION_NTAR_ID,0))</f>
        <v/>
      </c>
      <c r="H157" s="1864"/>
      <c r="I157" s="1741"/>
      <c r="J157" s="1775"/>
      <c r="K157" s="1780"/>
      <c r="L157" s="1864" t="s">
        <v>306</v>
      </c>
      <c r="M157" s="343"/>
      <c r="N157" s="336"/>
      <c r="O157" s="1626"/>
      <c r="P157" s="1626"/>
      <c r="AH157" s="1633">
        <v>0</v>
      </c>
    </row>
    <row s="1637" customFormat="1" customHeight="1" ht="18.75" hidden="1">
      <c r="A158" s="1782"/>
      <c r="B158" s="1782"/>
      <c r="C158" s="371" t="s">
        <v>1148</v>
      </c>
      <c r="D158" s="2464"/>
      <c r="E158" s="2206"/>
      <c r="F158" s="2385"/>
      <c r="G158" s="2429"/>
      <c r="H158" s="1502"/>
      <c r="I158" s="653" t="s">
        <v>1147</v>
      </c>
      <c r="J158" s="573"/>
      <c r="K158" s="1502"/>
      <c r="L158" s="216"/>
      <c r="M158" s="343"/>
      <c r="N158" s="336"/>
      <c r="O158" s="1626"/>
      <c r="P158" s="1626"/>
      <c r="AH158" s="1633">
        <v>0</v>
      </c>
    </row>
    <row s="1637" customFormat="1" customHeight="1" ht="0.75" hidden="1">
      <c r="A159" s="1782"/>
      <c r="B159" s="1782"/>
      <c r="C159" s="371" t="s">
        <v>1155</v>
      </c>
      <c r="D159" s="2464"/>
      <c r="E159" s="2206"/>
      <c r="F159" s="2385"/>
      <c r="G159" s="402"/>
      <c r="H159" s="1502"/>
      <c r="I159" s="653"/>
      <c r="J159" s="573"/>
      <c r="K159" s="1502"/>
      <c r="L159" s="216"/>
      <c r="M159" s="343"/>
      <c r="N159" s="336"/>
      <c r="O159" s="1626"/>
      <c r="P159" s="1626"/>
      <c r="AH159" s="1633">
        <v>0</v>
      </c>
    </row>
    <row s="1637" customFormat="1" customHeight="1" ht="18.75" hidden="1">
      <c r="A160" s="1782" t="s">
        <v>181</v>
      </c>
      <c r="B160" s="1782" t="s">
        <v>182</v>
      </c>
      <c r="C160" s="371"/>
      <c r="D160" s="2464"/>
      <c r="E160" s="2206"/>
      <c r="F160" s="2385" t="str">
        <f>INDEX(PT_DIFFERENTIATION_VTAR,MATCH(A160,PT_DIFFERENTIATION_VTAR_ID,0))</f>
        <v>Тарифы на услуги по передаче тепловой энергии</v>
      </c>
      <c r="G160" s="2429" t="str">
        <f>INDEX(PT_DIFFERENTIATION_NTAR,MATCH(B160,PT_DIFFERENTIATION_NTAR_ID,0))</f>
        <v/>
      </c>
      <c r="H160" s="1864"/>
      <c r="I160" s="1741"/>
      <c r="J160" s="1775"/>
      <c r="K160" s="1780"/>
      <c r="L160" s="1864" t="s">
        <v>306</v>
      </c>
      <c r="M160" s="343"/>
      <c r="N160" s="336"/>
      <c r="O160" s="1626"/>
      <c r="P160" s="1626"/>
      <c r="AH160" s="1633">
        <v>0</v>
      </c>
    </row>
    <row s="1637" customFormat="1" customHeight="1" ht="18.75" hidden="1">
      <c r="A161" s="1782"/>
      <c r="B161" s="1782"/>
      <c r="C161" s="371" t="s">
        <v>1148</v>
      </c>
      <c r="D161" s="2464"/>
      <c r="E161" s="2206"/>
      <c r="F161" s="2385"/>
      <c r="G161" s="2429"/>
      <c r="H161" s="1502"/>
      <c r="I161" s="653" t="s">
        <v>1147</v>
      </c>
      <c r="J161" s="573"/>
      <c r="K161" s="1502"/>
      <c r="L161" s="216"/>
      <c r="M161" s="343"/>
      <c r="N161" s="336"/>
      <c r="O161" s="1626"/>
      <c r="P161" s="1626"/>
      <c r="AH161" s="1633">
        <v>0</v>
      </c>
    </row>
    <row s="1637" customFormat="1" customHeight="1" ht="0.75" hidden="1">
      <c r="A162" s="1782"/>
      <c r="B162" s="1782"/>
      <c r="C162" s="371" t="s">
        <v>1155</v>
      </c>
      <c r="D162" s="2464"/>
      <c r="E162" s="2206"/>
      <c r="F162" s="2385"/>
      <c r="G162" s="402"/>
      <c r="H162" s="1502"/>
      <c r="I162" s="653"/>
      <c r="J162" s="573"/>
      <c r="K162" s="1502"/>
      <c r="L162" s="216"/>
      <c r="M162" s="343"/>
      <c r="N162" s="336"/>
      <c r="O162" s="1626"/>
      <c r="P162" s="1626"/>
      <c r="AH162" s="1633">
        <v>0</v>
      </c>
    </row>
    <row s="1637" customFormat="1" customHeight="1" ht="18.75" hidden="1">
      <c r="A163" s="1782" t="s">
        <v>187</v>
      </c>
      <c r="B163" s="1782" t="s">
        <v>188</v>
      </c>
      <c r="C163" s="371"/>
      <c r="D163" s="2464"/>
      <c r="E163" s="2206"/>
      <c r="F163" s="2385" t="str">
        <f>INDEX(PT_DIFFERENTIATION_VTAR,MATCH(A163,PT_DIFFERENTIATION_VTAR_ID,0))</f>
        <v>Тарифы на услуги по передаче теплоносителя</v>
      </c>
      <c r="G163" s="2429" t="str">
        <f>INDEX(PT_DIFFERENTIATION_NTAR,MATCH(B163,PT_DIFFERENTIATION_NTAR_ID,0))</f>
        <v/>
      </c>
      <c r="H163" s="1864"/>
      <c r="I163" s="1741"/>
      <c r="J163" s="1775"/>
      <c r="K163" s="1780"/>
      <c r="L163" s="1864" t="s">
        <v>306</v>
      </c>
      <c r="M163" s="343"/>
      <c r="N163" s="336"/>
      <c r="O163" s="1626"/>
      <c r="P163" s="1626"/>
      <c r="AH163" s="1633">
        <v>0</v>
      </c>
    </row>
    <row s="1637" customFormat="1" customHeight="1" ht="18.75" hidden="1">
      <c r="A164" s="1782"/>
      <c r="B164" s="1782"/>
      <c r="C164" s="371" t="s">
        <v>1148</v>
      </c>
      <c r="D164" s="2464"/>
      <c r="E164" s="2206"/>
      <c r="F164" s="2385"/>
      <c r="G164" s="2429"/>
      <c r="H164" s="1502"/>
      <c r="I164" s="653" t="s">
        <v>1147</v>
      </c>
      <c r="J164" s="573"/>
      <c r="K164" s="1502"/>
      <c r="L164" s="216"/>
      <c r="M164" s="343"/>
      <c r="N164" s="336"/>
      <c r="O164" s="1626"/>
      <c r="P164" s="1626"/>
      <c r="AH164" s="1633">
        <v>0</v>
      </c>
    </row>
    <row s="1637" customFormat="1" customHeight="1" ht="0.75" hidden="1">
      <c r="A165" s="1782"/>
      <c r="B165" s="1782"/>
      <c r="C165" s="371" t="s">
        <v>1155</v>
      </c>
      <c r="D165" s="2464"/>
      <c r="E165" s="2206"/>
      <c r="F165" s="2385"/>
      <c r="G165" s="402"/>
      <c r="H165" s="1502"/>
      <c r="I165" s="653"/>
      <c r="J165" s="573"/>
      <c r="K165" s="1502"/>
      <c r="L165" s="216"/>
      <c r="M165" s="343"/>
      <c r="N165" s="336"/>
      <c r="O165" s="1626"/>
      <c r="P165" s="1626"/>
      <c r="AH165" s="1633">
        <v>0</v>
      </c>
    </row>
    <row s="1637" customFormat="1" customHeight="1" ht="18.75" hidden="1">
      <c r="A166" s="1782" t="s">
        <v>193</v>
      </c>
      <c r="B166" s="1782" t="s">
        <v>194</v>
      </c>
      <c r="C166" s="371"/>
      <c r="D166" s="2464"/>
      <c r="E166" s="2206"/>
      <c r="F166" s="238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9" t="str">
        <f>INDEX(PT_DIFFERENTIATION_NTAR,MATCH(B166,PT_DIFFERENTIATION_NTAR_ID,0))</f>
        <v/>
      </c>
      <c r="H166" s="1864"/>
      <c r="I166" s="1741"/>
      <c r="J166" s="1775"/>
      <c r="K166" s="1780"/>
      <c r="L166" s="1864" t="s">
        <v>306</v>
      </c>
      <c r="M166" s="343"/>
      <c r="N166" s="336"/>
      <c r="O166" s="1626"/>
      <c r="P166" s="1626"/>
      <c r="AH166" s="1633">
        <v>0</v>
      </c>
    </row>
    <row s="1637" customFormat="1" customHeight="1" ht="18.75" hidden="1">
      <c r="A167" s="1782"/>
      <c r="B167" s="1782"/>
      <c r="C167" s="371" t="s">
        <v>1148</v>
      </c>
      <c r="D167" s="2464"/>
      <c r="E167" s="2206"/>
      <c r="F167" s="2385"/>
      <c r="G167" s="2429"/>
      <c r="H167" s="1502"/>
      <c r="I167" s="653" t="s">
        <v>1147</v>
      </c>
      <c r="J167" s="573"/>
      <c r="K167" s="1502"/>
      <c r="L167" s="216"/>
      <c r="M167" s="343"/>
      <c r="N167" s="336"/>
      <c r="O167" s="1626"/>
      <c r="P167" s="1626"/>
      <c r="AH167" s="1633">
        <v>0</v>
      </c>
    </row>
    <row s="1637" customFormat="1" customHeight="1" ht="0.75" hidden="1">
      <c r="A168" s="1782"/>
      <c r="B168" s="1782"/>
      <c r="C168" s="371" t="s">
        <v>1155</v>
      </c>
      <c r="D168" s="2464"/>
      <c r="E168" s="2206"/>
      <c r="F168" s="2385"/>
      <c r="G168" s="402"/>
      <c r="H168" s="1502"/>
      <c r="I168" s="653"/>
      <c r="J168" s="573"/>
      <c r="K168" s="1502"/>
      <c r="L168" s="216"/>
      <c r="M168" s="343"/>
      <c r="N168" s="336"/>
      <c r="O168" s="1626"/>
      <c r="P168" s="1626"/>
      <c r="AH168" s="1633">
        <v>0</v>
      </c>
    </row>
    <row s="1637" customFormat="1" customHeight="1" ht="18.75" hidden="1">
      <c r="A169" s="1782" t="s">
        <v>199</v>
      </c>
      <c r="B169" s="1782" t="s">
        <v>200</v>
      </c>
      <c r="C169" s="371"/>
      <c r="D169" s="2464"/>
      <c r="E169" s="2206"/>
      <c r="F169" s="2385" t="str">
        <f>INDEX(PT_DIFFERENTIATION_VTAR,MATCH(A169,PT_DIFFERENTIATION_VTAR_ID,0))</f>
        <v>Плата за подключение (технологическое присоединение) к системе теплоснабжения</v>
      </c>
      <c r="G169" s="2429" t="str">
        <f>INDEX(PT_DIFFERENTIATION_NTAR,MATCH(B169,PT_DIFFERENTIATION_NTAR_ID,0))</f>
        <v/>
      </c>
      <c r="H169" s="1864"/>
      <c r="I169" s="1741"/>
      <c r="J169" s="1775"/>
      <c r="K169" s="1780"/>
      <c r="L169" s="1864" t="s">
        <v>306</v>
      </c>
      <c r="M169" s="343"/>
      <c r="N169" s="336"/>
      <c r="O169" s="1626"/>
      <c r="P169" s="1626"/>
      <c r="AH169" s="1633">
        <v>0</v>
      </c>
    </row>
    <row s="1637" customFormat="1" customHeight="1" ht="18.75" hidden="1">
      <c r="A170" s="1782"/>
      <c r="B170" s="1782"/>
      <c r="C170" s="371" t="s">
        <v>1148</v>
      </c>
      <c r="D170" s="2464"/>
      <c r="E170" s="2206"/>
      <c r="F170" s="2385"/>
      <c r="G170" s="2429"/>
      <c r="H170" s="1502"/>
      <c r="I170" s="653" t="s">
        <v>1147</v>
      </c>
      <c r="J170" s="573"/>
      <c r="K170" s="1502"/>
      <c r="L170" s="216"/>
      <c r="M170" s="343"/>
      <c r="N170" s="336"/>
      <c r="O170" s="1626"/>
      <c r="P170" s="1626"/>
      <c r="AH170" s="1633">
        <v>0</v>
      </c>
    </row>
    <row s="1637" customFormat="1" customHeight="1" ht="0.75" hidden="1">
      <c r="A171" s="1782"/>
      <c r="B171" s="1782"/>
      <c r="C171" s="371" t="s">
        <v>1155</v>
      </c>
      <c r="D171" s="2464"/>
      <c r="E171" s="2206"/>
      <c r="F171" s="2385"/>
      <c r="G171" s="402"/>
      <c r="H171" s="1502"/>
      <c r="I171" s="653"/>
      <c r="J171" s="573"/>
      <c r="K171" s="1502"/>
      <c r="L171" s="216"/>
      <c r="M171" s="343"/>
      <c r="N171" s="336"/>
      <c r="O171" s="1626"/>
      <c r="P171" s="1626"/>
      <c r="AH171" s="1633">
        <v>0</v>
      </c>
    </row>
    <row s="1637" customFormat="1" customHeight="1" ht="18.75" hidden="1">
      <c r="A172" s="1782" t="s">
        <v>205</v>
      </c>
      <c r="B172" s="1782" t="s">
        <v>206</v>
      </c>
      <c r="C172" s="371"/>
      <c r="D172" s="2464"/>
      <c r="E172" s="2206"/>
      <c r="F172" s="2385" t="str">
        <f>INDEX(PT_DIFFERENTIATION_VTAR,MATCH(A172,PT_DIFFERENTIATION_VTAR_ID,0))</f>
        <v>Плата за подключение (технологическое присоединение) к системе теплоснабжения (индивидуальная)</v>
      </c>
      <c r="G172" s="2429" t="str">
        <f>INDEX(PT_DIFFERENTIATION_NTAR,MATCH(B172,PT_DIFFERENTIATION_NTAR_ID,0))</f>
        <v/>
      </c>
      <c r="H172" s="1991"/>
      <c r="I172" s="1741"/>
      <c r="J172" s="1775"/>
      <c r="K172" s="1780"/>
      <c r="L172" s="1991" t="s">
        <v>306</v>
      </c>
      <c r="M172" s="343"/>
      <c r="N172" s="336"/>
      <c r="O172" s="1626"/>
      <c r="P172" s="1626"/>
      <c r="AH172" s="1633">
        <v>0</v>
      </c>
    </row>
    <row s="1637" customFormat="1" customHeight="1" ht="18.75" hidden="1">
      <c r="A173" s="1782"/>
      <c r="B173" s="1782"/>
      <c r="C173" s="371" t="s">
        <v>1148</v>
      </c>
      <c r="D173" s="2464"/>
      <c r="E173" s="2206"/>
      <c r="F173" s="2385"/>
      <c r="G173" s="2429"/>
      <c r="H173" s="1502"/>
      <c r="I173" s="653" t="s">
        <v>1147</v>
      </c>
      <c r="J173" s="573"/>
      <c r="K173" s="1502"/>
      <c r="L173" s="216"/>
      <c r="M173" s="343"/>
      <c r="N173" s="336"/>
      <c r="O173" s="1626"/>
      <c r="P173" s="1626"/>
      <c r="AH173" s="1633">
        <v>0</v>
      </c>
    </row>
    <row s="1637" customFormat="1" customHeight="1" ht="0.75" hidden="1">
      <c r="A174" s="1782"/>
      <c r="B174" s="1782"/>
      <c r="C174" s="371" t="s">
        <v>1155</v>
      </c>
      <c r="D174" s="2464"/>
      <c r="E174" s="2206"/>
      <c r="F174" s="2385"/>
      <c r="G174" s="402"/>
      <c r="H174" s="1502"/>
      <c r="I174" s="653"/>
      <c r="J174" s="573"/>
      <c r="K174" s="1502"/>
      <c r="L174" s="216"/>
      <c r="M174" s="343"/>
      <c r="N174" s="336"/>
      <c r="O174" s="1626"/>
      <c r="P174" s="1626"/>
      <c r="AH174" s="1633">
        <v>0</v>
      </c>
    </row>
    <row s="1637" customFormat="1" customHeight="1" ht="18.75" hidden="1">
      <c r="A175" s="1782" t="s">
        <v>225</v>
      </c>
      <c r="B175" s="1782" t="s">
        <v>226</v>
      </c>
      <c r="C175" s="371"/>
      <c r="D175" s="2464"/>
      <c r="E175" s="2206"/>
      <c r="F175" s="2385" t="str">
        <f>INDEX(PT_DIFFERENTIATION_VTAR,MATCH(A175,PT_DIFFERENTIATION_VTAR_ID,0))</f>
        <v>Тариф на питьевую воду (питьевое водоснабжение)</v>
      </c>
      <c r="G175" s="2429" t="str">
        <f>INDEX(PT_DIFFERENTIATION_NTAR,MATCH(B175,PT_DIFFERENTIATION_NTAR_ID,0))</f>
        <v/>
      </c>
      <c r="H175" s="1864"/>
      <c r="I175" s="1741"/>
      <c r="J175" s="1775"/>
      <c r="K175" s="1780"/>
      <c r="L175" s="1864" t="s">
        <v>306</v>
      </c>
      <c r="M175" s="343"/>
      <c r="N175" s="336"/>
      <c r="O175" s="1626"/>
      <c r="P175" s="1626"/>
      <c r="AH175" s="1633">
        <v>0</v>
      </c>
    </row>
    <row s="1637" customFormat="1" customHeight="1" ht="18.75" hidden="1">
      <c r="A176" s="1782"/>
      <c r="B176" s="1782"/>
      <c r="C176" s="371" t="s">
        <v>1148</v>
      </c>
      <c r="D176" s="2464"/>
      <c r="E176" s="2206"/>
      <c r="F176" s="2385"/>
      <c r="G176" s="2429"/>
      <c r="H176" s="1502"/>
      <c r="I176" s="653" t="s">
        <v>1147</v>
      </c>
      <c r="J176" s="573"/>
      <c r="K176" s="1502"/>
      <c r="L176" s="216"/>
      <c r="M176" s="343"/>
      <c r="N176" s="336"/>
      <c r="O176" s="1626"/>
      <c r="P176" s="1626"/>
      <c r="AH176" s="1633">
        <v>0</v>
      </c>
    </row>
    <row s="1637" customFormat="1" customHeight="1" ht="0.75" hidden="1">
      <c r="A177" s="1782"/>
      <c r="B177" s="1782"/>
      <c r="C177" s="371" t="s">
        <v>1155</v>
      </c>
      <c r="D177" s="2464"/>
      <c r="E177" s="2206"/>
      <c r="F177" s="2385"/>
      <c r="G177" s="402"/>
      <c r="H177" s="1502"/>
      <c r="I177" s="653"/>
      <c r="J177" s="573"/>
      <c r="K177" s="1502"/>
      <c r="L177" s="216"/>
      <c r="M177" s="343"/>
      <c r="N177" s="336"/>
      <c r="O177" s="1626"/>
      <c r="P177" s="1626"/>
      <c r="AH177" s="1633">
        <v>0</v>
      </c>
    </row>
    <row s="1637" customFormat="1" customHeight="1" ht="18.75" hidden="1">
      <c r="A178" s="1782" t="s">
        <v>230</v>
      </c>
      <c r="B178" s="1782" t="s">
        <v>231</v>
      </c>
      <c r="C178" s="371"/>
      <c r="D178" s="2464"/>
      <c r="E178" s="2206"/>
      <c r="F178" s="2385" t="str">
        <f>INDEX(PT_DIFFERENTIATION_VTAR,MATCH(A178,PT_DIFFERENTIATION_VTAR_ID,0))</f>
        <v>Тариф на техническую воду</v>
      </c>
      <c r="G178" s="2429" t="str">
        <f>INDEX(PT_DIFFERENTIATION_NTAR,MATCH(B178,PT_DIFFERENTIATION_NTAR_ID,0))</f>
        <v/>
      </c>
      <c r="H178" s="1864"/>
      <c r="I178" s="1741"/>
      <c r="J178" s="1775"/>
      <c r="K178" s="1780"/>
      <c r="L178" s="1864" t="s">
        <v>306</v>
      </c>
      <c r="M178" s="343"/>
      <c r="N178" s="336"/>
      <c r="O178" s="1626"/>
      <c r="P178" s="1626"/>
      <c r="AH178" s="1633">
        <v>0</v>
      </c>
    </row>
    <row s="1637" customFormat="1" customHeight="1" ht="18.75" hidden="1">
      <c r="A179" s="1782"/>
      <c r="B179" s="1782"/>
      <c r="C179" s="371" t="s">
        <v>1148</v>
      </c>
      <c r="D179" s="2464"/>
      <c r="E179" s="2206"/>
      <c r="F179" s="2385"/>
      <c r="G179" s="2429"/>
      <c r="H179" s="1502"/>
      <c r="I179" s="653" t="s">
        <v>1147</v>
      </c>
      <c r="J179" s="573"/>
      <c r="K179" s="1502"/>
      <c r="L179" s="216"/>
      <c r="M179" s="343"/>
      <c r="N179" s="336"/>
      <c r="O179" s="1626"/>
      <c r="P179" s="1626"/>
      <c r="AH179" s="1633">
        <v>0</v>
      </c>
    </row>
    <row s="1637" customFormat="1" customHeight="1" ht="0.75" hidden="1">
      <c r="A180" s="1782"/>
      <c r="B180" s="1782"/>
      <c r="C180" s="371" t="s">
        <v>1155</v>
      </c>
      <c r="D180" s="2464"/>
      <c r="E180" s="2206"/>
      <c r="F180" s="2385"/>
      <c r="G180" s="402"/>
      <c r="H180" s="1502"/>
      <c r="I180" s="653"/>
      <c r="J180" s="573"/>
      <c r="K180" s="1502"/>
      <c r="L180" s="216"/>
      <c r="M180" s="343"/>
      <c r="N180" s="336"/>
      <c r="O180" s="1626"/>
      <c r="P180" s="1626"/>
      <c r="AH180" s="1633">
        <v>0</v>
      </c>
    </row>
    <row s="1637" customFormat="1" customHeight="1" ht="18.75" hidden="1">
      <c r="A181" s="1782" t="s">
        <v>235</v>
      </c>
      <c r="B181" s="1782" t="s">
        <v>236</v>
      </c>
      <c r="C181" s="371"/>
      <c r="D181" s="2464"/>
      <c r="E181" s="2206"/>
      <c r="F181" s="2385" t="str">
        <f>INDEX(PT_DIFFERENTIATION_VTAR,MATCH(A181,PT_DIFFERENTIATION_VTAR_ID,0))</f>
        <v>Тариф на транспортировку воды</v>
      </c>
      <c r="G181" s="2429" t="str">
        <f>INDEX(PT_DIFFERENTIATION_NTAR,MATCH(B181,PT_DIFFERENTIATION_NTAR_ID,0))</f>
        <v/>
      </c>
      <c r="H181" s="1864"/>
      <c r="I181" s="1741"/>
      <c r="J181" s="1775"/>
      <c r="K181" s="1780"/>
      <c r="L181" s="1864" t="s">
        <v>306</v>
      </c>
      <c r="M181" s="343"/>
      <c r="N181" s="336"/>
      <c r="O181" s="1626"/>
      <c r="P181" s="1626"/>
      <c r="AH181" s="1633">
        <v>0</v>
      </c>
    </row>
    <row s="1637" customFormat="1" customHeight="1" ht="18.75" hidden="1">
      <c r="A182" s="1782"/>
      <c r="B182" s="1782"/>
      <c r="C182" s="371" t="s">
        <v>1148</v>
      </c>
      <c r="D182" s="2464"/>
      <c r="E182" s="2206"/>
      <c r="F182" s="2385"/>
      <c r="G182" s="2429"/>
      <c r="H182" s="1502"/>
      <c r="I182" s="653" t="s">
        <v>1147</v>
      </c>
      <c r="J182" s="573"/>
      <c r="K182" s="1502"/>
      <c r="L182" s="216"/>
      <c r="M182" s="343"/>
      <c r="N182" s="336"/>
      <c r="O182" s="1626"/>
      <c r="P182" s="1626"/>
      <c r="AH182" s="1633">
        <v>0</v>
      </c>
    </row>
    <row s="1637" customFormat="1" customHeight="1" ht="0.75" hidden="1">
      <c r="A183" s="1782"/>
      <c r="B183" s="1782"/>
      <c r="C183" s="371" t="s">
        <v>1155</v>
      </c>
      <c r="D183" s="2464"/>
      <c r="E183" s="2206"/>
      <c r="F183" s="2385"/>
      <c r="G183" s="402"/>
      <c r="H183" s="1502"/>
      <c r="I183" s="653"/>
      <c r="J183" s="573"/>
      <c r="K183" s="1502"/>
      <c r="L183" s="216"/>
      <c r="M183" s="343"/>
      <c r="N183" s="336"/>
      <c r="O183" s="1626"/>
      <c r="P183" s="1626"/>
      <c r="AH183" s="1633">
        <v>0</v>
      </c>
    </row>
    <row s="1637" customFormat="1" customHeight="1" ht="18.75" hidden="1">
      <c r="A184" s="1782" t="s">
        <v>240</v>
      </c>
      <c r="B184" s="1782" t="s">
        <v>241</v>
      </c>
      <c r="C184" s="371"/>
      <c r="D184" s="2464"/>
      <c r="E184" s="2206"/>
      <c r="F184" s="2385" t="str">
        <f>INDEX(PT_DIFFERENTIATION_VTAR,MATCH(A184,PT_DIFFERENTIATION_VTAR_ID,0))</f>
        <v>Тариф на подвоз воды</v>
      </c>
      <c r="G184" s="2429" t="str">
        <f>INDEX(PT_DIFFERENTIATION_NTAR,MATCH(B184,PT_DIFFERENTIATION_NTAR_ID,0))</f>
        <v/>
      </c>
      <c r="H184" s="1864"/>
      <c r="I184" s="1741"/>
      <c r="J184" s="1775"/>
      <c r="K184" s="1780"/>
      <c r="L184" s="1864" t="s">
        <v>306</v>
      </c>
      <c r="M184" s="343"/>
      <c r="N184" s="336"/>
      <c r="O184" s="1626"/>
      <c r="P184" s="1626"/>
      <c r="AH184" s="1633">
        <v>0</v>
      </c>
    </row>
    <row s="1637" customFormat="1" customHeight="1" ht="18.75" hidden="1">
      <c r="A185" s="1782"/>
      <c r="B185" s="1782"/>
      <c r="C185" s="371" t="s">
        <v>1148</v>
      </c>
      <c r="D185" s="2464"/>
      <c r="E185" s="2206"/>
      <c r="F185" s="2385"/>
      <c r="G185" s="2429"/>
      <c r="H185" s="1502"/>
      <c r="I185" s="653" t="s">
        <v>1147</v>
      </c>
      <c r="J185" s="573"/>
      <c r="K185" s="1502"/>
      <c r="L185" s="216"/>
      <c r="M185" s="343"/>
      <c r="N185" s="336"/>
      <c r="O185" s="1626"/>
      <c r="P185" s="1626"/>
      <c r="AH185" s="1633">
        <v>0</v>
      </c>
    </row>
    <row s="1637" customFormat="1" customHeight="1" ht="0.75" hidden="1">
      <c r="A186" s="1782"/>
      <c r="B186" s="1782"/>
      <c r="C186" s="371" t="s">
        <v>1155</v>
      </c>
      <c r="D186" s="2464"/>
      <c r="E186" s="2206"/>
      <c r="F186" s="2385"/>
      <c r="G186" s="402"/>
      <c r="H186" s="1502"/>
      <c r="I186" s="653"/>
      <c r="J186" s="573"/>
      <c r="K186" s="1502"/>
      <c r="L186" s="216"/>
      <c r="M186" s="343"/>
      <c r="N186" s="336"/>
      <c r="O186" s="1626"/>
      <c r="P186" s="1626"/>
      <c r="AH186" s="1633">
        <v>0</v>
      </c>
    </row>
    <row s="1637" customFormat="1" customHeight="1" ht="18.75" hidden="1">
      <c r="A187" s="1782" t="s">
        <v>245</v>
      </c>
      <c r="B187" s="1782" t="s">
        <v>246</v>
      </c>
      <c r="C187" s="371"/>
      <c r="D187" s="2464"/>
      <c r="E187" s="2206"/>
      <c r="F187" s="238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9" t="str">
        <f>INDEX(PT_DIFFERENTIATION_NTAR,MATCH(B187,PT_DIFFERENTIATION_NTAR_ID,0))</f>
        <v/>
      </c>
      <c r="H187" s="1864"/>
      <c r="I187" s="1741"/>
      <c r="J187" s="1775"/>
      <c r="K187" s="1780"/>
      <c r="L187" s="1864" t="s">
        <v>306</v>
      </c>
      <c r="M187" s="343"/>
      <c r="N187" s="336"/>
      <c r="O187" s="1626"/>
      <c r="P187" s="1626"/>
      <c r="AH187" s="1633">
        <v>0</v>
      </c>
    </row>
    <row s="1637" customFormat="1" customHeight="1" ht="18.75" hidden="1">
      <c r="A188" s="1782"/>
      <c r="B188" s="1782"/>
      <c r="C188" s="371" t="s">
        <v>1148</v>
      </c>
      <c r="D188" s="2464"/>
      <c r="E188" s="2206"/>
      <c r="F188" s="2385"/>
      <c r="G188" s="2429"/>
      <c r="H188" s="1502"/>
      <c r="I188" s="653" t="s">
        <v>1147</v>
      </c>
      <c r="J188" s="573"/>
      <c r="K188" s="1502"/>
      <c r="L188" s="216"/>
      <c r="M188" s="343"/>
      <c r="N188" s="336"/>
      <c r="O188" s="1626"/>
      <c r="P188" s="1626"/>
      <c r="AH188" s="1633">
        <v>0</v>
      </c>
    </row>
    <row s="1637" customFormat="1" customHeight="1" ht="0.75" hidden="1">
      <c r="A189" s="1782"/>
      <c r="B189" s="1782"/>
      <c r="C189" s="371" t="s">
        <v>1155</v>
      </c>
      <c r="D189" s="2464"/>
      <c r="E189" s="2206"/>
      <c r="F189" s="2385"/>
      <c r="G189" s="402"/>
      <c r="H189" s="1502"/>
      <c r="I189" s="653"/>
      <c r="J189" s="573"/>
      <c r="K189" s="1502"/>
      <c r="L189" s="216"/>
      <c r="M189" s="343"/>
      <c r="N189" s="336"/>
      <c r="O189" s="1626"/>
      <c r="P189" s="1626"/>
      <c r="AH189" s="1633">
        <v>0</v>
      </c>
    </row>
    <row s="1637" customFormat="1" customHeight="1" ht="18.75" hidden="1">
      <c r="A190" s="1782" t="s">
        <v>250</v>
      </c>
      <c r="B190" s="1782" t="s">
        <v>251</v>
      </c>
      <c r="C190" s="371"/>
      <c r="D190" s="2464"/>
      <c r="E190" s="2206"/>
      <c r="F190" s="2385" t="str">
        <f>INDEX(PT_DIFFERENTIATION_VTAR,MATCH(A190,PT_DIFFERENTIATION_VTAR_ID,0))</f>
        <v>Тариф на горячую воду (горячее водоснабжение)</v>
      </c>
      <c r="G190" s="2429" t="str">
        <f>INDEX(PT_DIFFERENTIATION_NTAR,MATCH(B190,PT_DIFFERENTIATION_NTAR_ID,0))</f>
        <v/>
      </c>
      <c r="H190" s="1864"/>
      <c r="I190" s="1741"/>
      <c r="J190" s="1775"/>
      <c r="K190" s="1780"/>
      <c r="L190" s="1864" t="s">
        <v>306</v>
      </c>
      <c r="M190" s="343"/>
      <c r="N190" s="336"/>
      <c r="O190" s="1626"/>
      <c r="P190" s="1626"/>
      <c r="AH190" s="1633">
        <v>0</v>
      </c>
    </row>
    <row s="1637" customFormat="1" customHeight="1" ht="18.75" hidden="1">
      <c r="A191" s="1782"/>
      <c r="B191" s="1782"/>
      <c r="C191" s="371" t="s">
        <v>1148</v>
      </c>
      <c r="D191" s="2464"/>
      <c r="E191" s="2206"/>
      <c r="F191" s="2385"/>
      <c r="G191" s="2429"/>
      <c r="H191" s="1502"/>
      <c r="I191" s="653" t="s">
        <v>1147</v>
      </c>
      <c r="J191" s="573"/>
      <c r="K191" s="1502"/>
      <c r="L191" s="216"/>
      <c r="M191" s="343"/>
      <c r="N191" s="336"/>
      <c r="O191" s="1626"/>
      <c r="P191" s="1626"/>
      <c r="AH191" s="1633">
        <v>0</v>
      </c>
    </row>
    <row s="1637" customFormat="1" customHeight="1" ht="0.75" hidden="1">
      <c r="A192" s="1782"/>
      <c r="B192" s="1782"/>
      <c r="C192" s="371" t="s">
        <v>1155</v>
      </c>
      <c r="D192" s="2464"/>
      <c r="E192" s="2206"/>
      <c r="F192" s="2385"/>
      <c r="G192" s="402"/>
      <c r="H192" s="1502"/>
      <c r="I192" s="653"/>
      <c r="J192" s="573"/>
      <c r="K192" s="1502"/>
      <c r="L192" s="216"/>
      <c r="M192" s="343"/>
      <c r="N192" s="336"/>
      <c r="O192" s="1626"/>
      <c r="P192" s="1626"/>
      <c r="AH192" s="1633">
        <v>0</v>
      </c>
    </row>
    <row s="1637" customFormat="1" customHeight="1" ht="18.75" hidden="1">
      <c r="A193" s="1782" t="s">
        <v>255</v>
      </c>
      <c r="B193" s="1782" t="s">
        <v>256</v>
      </c>
      <c r="C193" s="371"/>
      <c r="D193" s="2464"/>
      <c r="E193" s="2206"/>
      <c r="F193" s="2385" t="str">
        <f>INDEX(PT_DIFFERENTIATION_VTAR,MATCH(A193,PT_DIFFERENTIATION_VTAR_ID,0))</f>
        <v>Тариф на транспортировку горячей воды</v>
      </c>
      <c r="G193" s="2429" t="str">
        <f>INDEX(PT_DIFFERENTIATION_NTAR,MATCH(B193,PT_DIFFERENTIATION_NTAR_ID,0))</f>
        <v/>
      </c>
      <c r="H193" s="1864"/>
      <c r="I193" s="1741"/>
      <c r="J193" s="1775"/>
      <c r="K193" s="1780"/>
      <c r="L193" s="1864" t="s">
        <v>306</v>
      </c>
      <c r="M193" s="343"/>
      <c r="N193" s="336"/>
      <c r="O193" s="1626"/>
      <c r="P193" s="1626"/>
      <c r="AH193" s="1633">
        <v>0</v>
      </c>
    </row>
    <row s="1637" customFormat="1" customHeight="1" ht="18.75" hidden="1">
      <c r="A194" s="1782"/>
      <c r="B194" s="1782"/>
      <c r="C194" s="371" t="s">
        <v>1148</v>
      </c>
      <c r="D194" s="2464"/>
      <c r="E194" s="2206"/>
      <c r="F194" s="2385"/>
      <c r="G194" s="2429"/>
      <c r="H194" s="1502"/>
      <c r="I194" s="653" t="s">
        <v>1147</v>
      </c>
      <c r="J194" s="573"/>
      <c r="K194" s="1502"/>
      <c r="L194" s="216"/>
      <c r="M194" s="343"/>
      <c r="N194" s="336"/>
      <c r="O194" s="1626"/>
      <c r="P194" s="1626"/>
      <c r="AH194" s="1633">
        <v>0</v>
      </c>
    </row>
    <row s="1637" customFormat="1" customHeight="1" ht="0.75" hidden="1">
      <c r="A195" s="1782"/>
      <c r="B195" s="1782"/>
      <c r="C195" s="371" t="s">
        <v>1155</v>
      </c>
      <c r="D195" s="2464"/>
      <c r="E195" s="2206"/>
      <c r="F195" s="2385"/>
      <c r="G195" s="402"/>
      <c r="H195" s="1502"/>
      <c r="I195" s="653"/>
      <c r="J195" s="573"/>
      <c r="K195" s="1502"/>
      <c r="L195" s="216"/>
      <c r="M195" s="343"/>
      <c r="N195" s="336"/>
      <c r="O195" s="1626"/>
      <c r="P195" s="1626"/>
      <c r="AH195" s="1633">
        <v>0</v>
      </c>
    </row>
    <row s="1637" customFormat="1" customHeight="1" ht="18.75" hidden="1">
      <c r="A196" s="1782" t="s">
        <v>260</v>
      </c>
      <c r="B196" s="1782" t="s">
        <v>261</v>
      </c>
      <c r="C196" s="371"/>
      <c r="D196" s="2464"/>
      <c r="E196" s="2206"/>
      <c r="F196" s="238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9" t="str">
        <f>INDEX(PT_DIFFERENTIATION_NTAR,MATCH(B196,PT_DIFFERENTIATION_NTAR_ID,0))</f>
        <v/>
      </c>
      <c r="H196" s="1864"/>
      <c r="I196" s="1741"/>
      <c r="J196" s="1775"/>
      <c r="K196" s="1780"/>
      <c r="L196" s="1864" t="s">
        <v>306</v>
      </c>
      <c r="M196" s="343"/>
      <c r="N196" s="336"/>
      <c r="O196" s="1626"/>
      <c r="P196" s="1626"/>
      <c r="AH196" s="1633">
        <v>0</v>
      </c>
    </row>
    <row s="1637" customFormat="1" customHeight="1" ht="18.75" hidden="1">
      <c r="A197" s="1782"/>
      <c r="B197" s="1782"/>
      <c r="C197" s="371" t="s">
        <v>1148</v>
      </c>
      <c r="D197" s="2464"/>
      <c r="E197" s="2206"/>
      <c r="F197" s="2385"/>
      <c r="G197" s="2429"/>
      <c r="H197" s="1502"/>
      <c r="I197" s="653" t="s">
        <v>1147</v>
      </c>
      <c r="J197" s="573"/>
      <c r="K197" s="1502"/>
      <c r="L197" s="216"/>
      <c r="M197" s="343"/>
      <c r="N197" s="336"/>
      <c r="O197" s="1626"/>
      <c r="P197" s="1626"/>
      <c r="AH197" s="1633">
        <v>0</v>
      </c>
    </row>
    <row s="1637" customFormat="1" customHeight="1" ht="0.75" hidden="1">
      <c r="A198" s="1782"/>
      <c r="B198" s="1782"/>
      <c r="C198" s="371" t="s">
        <v>1155</v>
      </c>
      <c r="D198" s="2464"/>
      <c r="E198" s="2206"/>
      <c r="F198" s="2385"/>
      <c r="G198" s="402"/>
      <c r="H198" s="1502"/>
      <c r="I198" s="653"/>
      <c r="J198" s="573"/>
      <c r="K198" s="1502"/>
      <c r="L198" s="216"/>
      <c r="M198" s="343"/>
      <c r="N198" s="336"/>
      <c r="O198" s="1626"/>
      <c r="P198" s="1626"/>
      <c r="AH198" s="1633">
        <v>0</v>
      </c>
    </row>
    <row s="1637" customFormat="1" customHeight="1" ht="18.75" hidden="1">
      <c r="A199" s="1782" t="s">
        <v>265</v>
      </c>
      <c r="B199" s="1782" t="s">
        <v>266</v>
      </c>
      <c r="C199" s="371"/>
      <c r="D199" s="2464"/>
      <c r="E199" s="2206"/>
      <c r="F199" s="2385" t="str">
        <f>INDEX(PT_DIFFERENTIATION_VTAR,MATCH(A199,PT_DIFFERENTIATION_VTAR_ID,0))</f>
        <v>Тариф на водоотведение</v>
      </c>
      <c r="G199" s="2429" t="str">
        <f>INDEX(PT_DIFFERENTIATION_NTAR,MATCH(B199,PT_DIFFERENTIATION_NTAR_ID,0))</f>
        <v/>
      </c>
      <c r="H199" s="1864"/>
      <c r="I199" s="1741"/>
      <c r="J199" s="1775"/>
      <c r="K199" s="1780"/>
      <c r="L199" s="1864" t="s">
        <v>306</v>
      </c>
      <c r="M199" s="343"/>
      <c r="N199" s="336"/>
      <c r="O199" s="1626"/>
      <c r="P199" s="1626"/>
      <c r="AH199" s="1633">
        <v>0</v>
      </c>
    </row>
    <row s="1637" customFormat="1" customHeight="1" ht="18.75" hidden="1">
      <c r="A200" s="1782"/>
      <c r="B200" s="1782"/>
      <c r="C200" s="371" t="s">
        <v>1148</v>
      </c>
      <c r="D200" s="2464"/>
      <c r="E200" s="2206"/>
      <c r="F200" s="2385"/>
      <c r="G200" s="2429"/>
      <c r="H200" s="1502"/>
      <c r="I200" s="653" t="s">
        <v>1147</v>
      </c>
      <c r="J200" s="573"/>
      <c r="K200" s="1502"/>
      <c r="L200" s="216"/>
      <c r="M200" s="343"/>
      <c r="N200" s="336"/>
      <c r="O200" s="1626"/>
      <c r="P200" s="1626"/>
      <c r="AH200" s="1633">
        <v>0</v>
      </c>
    </row>
    <row s="1637" customFormat="1" customHeight="1" ht="0.75" hidden="1">
      <c r="A201" s="1782"/>
      <c r="B201" s="1782"/>
      <c r="C201" s="371" t="s">
        <v>1155</v>
      </c>
      <c r="D201" s="2464"/>
      <c r="E201" s="2206"/>
      <c r="F201" s="2385"/>
      <c r="G201" s="402"/>
      <c r="H201" s="1502"/>
      <c r="I201" s="653"/>
      <c r="J201" s="573"/>
      <c r="K201" s="1502"/>
      <c r="L201" s="216"/>
      <c r="M201" s="343"/>
      <c r="N201" s="336"/>
      <c r="O201" s="1626"/>
      <c r="P201" s="1626"/>
      <c r="AH201" s="1633">
        <v>0</v>
      </c>
    </row>
    <row s="1637" customFormat="1" customHeight="1" ht="18.75" hidden="1">
      <c r="A202" s="1782" t="s">
        <v>270</v>
      </c>
      <c r="B202" s="1782" t="s">
        <v>271</v>
      </c>
      <c r="C202" s="371"/>
      <c r="D202" s="2464"/>
      <c r="E202" s="2206"/>
      <c r="F202" s="2385" t="str">
        <f>INDEX(PT_DIFFERENTIATION_VTAR,MATCH(A202,PT_DIFFERENTIATION_VTAR_ID,0))</f>
        <v>Тариф на транспортировку сточных вод</v>
      </c>
      <c r="G202" s="2429" t="str">
        <f>INDEX(PT_DIFFERENTIATION_NTAR,MATCH(B202,PT_DIFFERENTIATION_NTAR_ID,0))</f>
        <v/>
      </c>
      <c r="H202" s="1864"/>
      <c r="I202" s="1741"/>
      <c r="J202" s="1775"/>
      <c r="K202" s="1780"/>
      <c r="L202" s="1864" t="s">
        <v>306</v>
      </c>
      <c r="M202" s="343"/>
      <c r="N202" s="336"/>
      <c r="O202" s="1626"/>
      <c r="P202" s="1626"/>
      <c r="AH202" s="1633">
        <v>0</v>
      </c>
    </row>
    <row s="1637" customFormat="1" customHeight="1" ht="18.75" hidden="1">
      <c r="A203" s="1782"/>
      <c r="B203" s="1782"/>
      <c r="C203" s="371" t="s">
        <v>1148</v>
      </c>
      <c r="D203" s="2464"/>
      <c r="E203" s="2206"/>
      <c r="F203" s="2385"/>
      <c r="G203" s="2429"/>
      <c r="H203" s="1502"/>
      <c r="I203" s="653" t="s">
        <v>1147</v>
      </c>
      <c r="J203" s="573"/>
      <c r="K203" s="1502"/>
      <c r="L203" s="216"/>
      <c r="M203" s="343"/>
      <c r="N203" s="336"/>
      <c r="O203" s="1626"/>
      <c r="P203" s="1626"/>
      <c r="AH203" s="1633">
        <v>0</v>
      </c>
    </row>
    <row s="1637" customFormat="1" customHeight="1" ht="0.75" hidden="1">
      <c r="A204" s="1782"/>
      <c r="B204" s="1782"/>
      <c r="C204" s="371" t="s">
        <v>1155</v>
      </c>
      <c r="D204" s="2464"/>
      <c r="E204" s="2206"/>
      <c r="F204" s="2385"/>
      <c r="G204" s="402"/>
      <c r="H204" s="1502"/>
      <c r="I204" s="653"/>
      <c r="J204" s="573"/>
      <c r="K204" s="1502"/>
      <c r="L204" s="216"/>
      <c r="M204" s="343"/>
      <c r="N204" s="336"/>
      <c r="O204" s="1626"/>
      <c r="P204" s="1626"/>
      <c r="AH204" s="1633">
        <v>0</v>
      </c>
    </row>
    <row s="1637" customFormat="1" customHeight="1" ht="18.75" hidden="1">
      <c r="A205" s="1782" t="s">
        <v>275</v>
      </c>
      <c r="B205" s="1782" t="s">
        <v>276</v>
      </c>
      <c r="C205" s="371"/>
      <c r="D205" s="2464"/>
      <c r="E205" s="2206"/>
      <c r="F205" s="2385" t="str">
        <f>INDEX(PT_DIFFERENTIATION_VTAR,MATCH(A205,PT_DIFFERENTIATION_VTAR_ID,0))</f>
        <v>Тариф на подключение (технологическое присоединение) к централизованной системе водоотведения</v>
      </c>
      <c r="G205" s="2429" t="str">
        <f>INDEX(PT_DIFFERENTIATION_NTAR,MATCH(B205,PT_DIFFERENTIATION_NTAR_ID,0))</f>
        <v/>
      </c>
      <c r="H205" s="1864"/>
      <c r="I205" s="1741"/>
      <c r="J205" s="1775"/>
      <c r="K205" s="1780"/>
      <c r="L205" s="1864" t="s">
        <v>306</v>
      </c>
      <c r="M205" s="343"/>
      <c r="N205" s="336"/>
      <c r="O205" s="1626"/>
      <c r="P205" s="1626"/>
      <c r="AH205" s="1633">
        <v>0</v>
      </c>
    </row>
    <row s="1637" customFormat="1" customHeight="1" ht="18.75" hidden="1">
      <c r="A206" s="1782"/>
      <c r="B206" s="1782"/>
      <c r="C206" s="371" t="s">
        <v>1148</v>
      </c>
      <c r="D206" s="2464"/>
      <c r="E206" s="2206"/>
      <c r="F206" s="2385"/>
      <c r="G206" s="2429"/>
      <c r="H206" s="1502"/>
      <c r="I206" s="653" t="s">
        <v>1147</v>
      </c>
      <c r="J206" s="573"/>
      <c r="K206" s="1502"/>
      <c r="L206" s="216"/>
      <c r="M206" s="343"/>
      <c r="N206" s="336"/>
      <c r="O206" s="1626"/>
      <c r="P206" s="1626"/>
      <c r="AH206" s="1633">
        <v>0</v>
      </c>
    </row>
    <row s="1637" customFormat="1" customHeight="1" ht="1.05">
      <c r="A207" s="1782"/>
      <c r="B207" s="1782"/>
      <c r="C207" s="371" t="s">
        <v>1155</v>
      </c>
      <c r="D207" s="2464"/>
      <c r="E207" s="2206"/>
      <c r="F207" s="2385"/>
      <c r="G207" s="402"/>
      <c r="H207" s="1502"/>
      <c r="I207" s="653"/>
      <c r="J207" s="573"/>
      <c r="K207" s="1502"/>
      <c r="L207" s="216"/>
      <c r="M207" s="343"/>
      <c r="N207" s="336"/>
      <c r="O207" s="1626"/>
      <c r="P207" s="1626"/>
      <c r="AH207" s="1633">
        <v>1</v>
      </c>
    </row>
    <row customHeight="1" ht="27.299999999999997">
      <c r="A208" s="1782"/>
      <c r="B208" s="1782"/>
      <c r="D208" s="378"/>
      <c r="E208" s="149" t="s">
        <v>111</v>
      </c>
      <c r="F208" s="246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2"/>
      <c r="H208" s="2462"/>
      <c r="I208" s="2462"/>
      <c r="J208" s="2462"/>
      <c r="K208" s="2462"/>
      <c r="L208" s="2462"/>
      <c r="M208" s="299"/>
      <c r="N208" s="336"/>
      <c r="AH208" s="376">
        <v>26</v>
      </c>
    </row>
    <row s="1637" customFormat="1" customHeight="1" ht="60.75" hidden="1">
      <c r="A209" s="1782" t="s">
        <v>157</v>
      </c>
      <c r="B209" s="1782" t="s">
        <v>158</v>
      </c>
      <c r="C209" s="371"/>
      <c r="D209" s="2464"/>
      <c r="E209" s="2206"/>
      <c r="F209" s="238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9" t="str">
        <f>INDEX(PT_DIFFERENTIATION_NTAR,MATCH(B209,PT_DIFFERENTIATION_NTAR_ID,0))</f>
        <v/>
      </c>
      <c r="H209" s="1864"/>
      <c r="I209" s="1741"/>
      <c r="J209" s="1775"/>
      <c r="K209" s="1780"/>
      <c r="L209" s="1864" t="s">
        <v>306</v>
      </c>
      <c r="M209"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6"/>
      <c r="O209" s="1626"/>
      <c r="P209" s="1626"/>
      <c r="AH209" s="1633">
        <v>0</v>
      </c>
    </row>
    <row s="1637" customFormat="1" customHeight="1" ht="18.75" hidden="1">
      <c r="A210" s="1782"/>
      <c r="B210" s="1782"/>
      <c r="C210" s="371" t="s">
        <v>1148</v>
      </c>
      <c r="D210" s="2464"/>
      <c r="E210" s="2206"/>
      <c r="F210" s="2385"/>
      <c r="G210" s="2429"/>
      <c r="H210" s="1502"/>
      <c r="I210" s="653" t="s">
        <v>1147</v>
      </c>
      <c r="J210" s="573"/>
      <c r="K210" s="1502"/>
      <c r="L210" s="216"/>
      <c r="M210" s="2172"/>
      <c r="N210" s="336"/>
      <c r="O210" s="1626"/>
      <c r="P210" s="1626"/>
      <c r="AH210" s="1633">
        <v>0</v>
      </c>
    </row>
    <row s="1637" customFormat="1" customHeight="1" ht="0.75" hidden="1">
      <c r="A211" s="1782"/>
      <c r="B211" s="1782"/>
      <c r="C211" s="371" t="s">
        <v>1155</v>
      </c>
      <c r="D211" s="2464"/>
      <c r="E211" s="2206"/>
      <c r="F211" s="2385"/>
      <c r="G211" s="402"/>
      <c r="H211" s="1502"/>
      <c r="I211" s="653"/>
      <c r="J211" s="573"/>
      <c r="K211" s="1502"/>
      <c r="L211" s="216"/>
      <c r="M211" s="2172"/>
      <c r="N211" s="336"/>
      <c r="O211" s="1626"/>
      <c r="P211" s="1626"/>
      <c r="AH211" s="1633">
        <v>0</v>
      </c>
    </row>
    <row s="1637" customFormat="1" customHeight="1" ht="45" hidden="1">
      <c r="A212" s="1782" t="s">
        <v>162</v>
      </c>
      <c r="B212" s="1782" t="s">
        <v>163</v>
      </c>
      <c r="C212" s="371"/>
      <c r="D212" s="2464"/>
      <c r="E212" s="2206"/>
      <c r="F212" s="2385" t="str">
        <f>INDEX(PT_DIFFERENTIATION_VTAR,MATCH(A212,PT_DIFFERENTIATION_VTAR_ID,0))</f>
        <v/>
      </c>
      <c r="G212" s="2429" t="str">
        <f>INDEX(PT_DIFFERENTIATION_NTAR,MATCH(B212,PT_DIFFERENTIATION_NTAR_ID,0))</f>
        <v/>
      </c>
      <c r="H212" s="1864"/>
      <c r="I212" s="1741"/>
      <c r="J212" s="1775"/>
      <c r="K212" s="1780"/>
      <c r="L212" s="1864" t="s">
        <v>306</v>
      </c>
      <c r="M212" s="2173"/>
      <c r="N212" s="336"/>
      <c r="O212" s="1626"/>
      <c r="P212" s="1626"/>
      <c r="AH212" s="1633">
        <v>0</v>
      </c>
    </row>
    <row s="1637" customFormat="1" customHeight="1" ht="18.75" hidden="1">
      <c r="A213" s="1782"/>
      <c r="B213" s="1782"/>
      <c r="C213" s="371" t="s">
        <v>1148</v>
      </c>
      <c r="D213" s="2464"/>
      <c r="E213" s="2206"/>
      <c r="F213" s="2385"/>
      <c r="G213" s="2429"/>
      <c r="H213" s="1502"/>
      <c r="I213" s="653" t="s">
        <v>1147</v>
      </c>
      <c r="J213" s="573"/>
      <c r="K213" s="1502"/>
      <c r="L213" s="216"/>
      <c r="M213" s="1863"/>
      <c r="N213" s="336"/>
      <c r="O213" s="1626"/>
      <c r="P213" s="1626"/>
      <c r="AH213" s="1633">
        <v>0</v>
      </c>
    </row>
    <row s="1637" customFormat="1" customHeight="1" ht="0.75" hidden="1">
      <c r="A214" s="1782"/>
      <c r="B214" s="1782"/>
      <c r="C214" s="371" t="s">
        <v>1155</v>
      </c>
      <c r="D214" s="2464"/>
      <c r="E214" s="2206"/>
      <c r="F214" s="2385"/>
      <c r="G214" s="402"/>
      <c r="H214" s="1502"/>
      <c r="I214" s="653"/>
      <c r="J214" s="573"/>
      <c r="K214" s="1502"/>
      <c r="L214" s="216"/>
      <c r="M214" s="343"/>
      <c r="N214" s="336"/>
      <c r="O214" s="1626"/>
      <c r="P214" s="1626"/>
      <c r="AH214" s="1633">
        <v>0</v>
      </c>
    </row>
    <row s="1637" customFormat="1" customHeight="1" ht="45" hidden="1">
      <c r="A215" s="1782" t="s">
        <v>169</v>
      </c>
      <c r="B215" s="1782" t="s">
        <v>170</v>
      </c>
      <c r="C215" s="371"/>
      <c r="D215" s="2464"/>
      <c r="E215" s="2206"/>
      <c r="F215" s="238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9" t="str">
        <f>INDEX(PT_DIFFERENTIATION_NTAR,MATCH(B215,PT_DIFFERENTIATION_NTAR_ID,0))</f>
        <v/>
      </c>
      <c r="H215" s="1864"/>
      <c r="I215" s="1741"/>
      <c r="J215" s="1775"/>
      <c r="K215" s="1780"/>
      <c r="L215" s="1864" t="s">
        <v>306</v>
      </c>
      <c r="M215" s="343"/>
      <c r="N215" s="336"/>
      <c r="O215" s="1626"/>
      <c r="P215" s="1626"/>
      <c r="AH215" s="1633">
        <v>0</v>
      </c>
    </row>
    <row s="1637" customFormat="1" customHeight="1" ht="18.75" hidden="1">
      <c r="A216" s="1782"/>
      <c r="B216" s="1782"/>
      <c r="C216" s="371" t="s">
        <v>1148</v>
      </c>
      <c r="D216" s="2464"/>
      <c r="E216" s="2206"/>
      <c r="F216" s="2385"/>
      <c r="G216" s="2429"/>
      <c r="H216" s="1502"/>
      <c r="I216" s="653" t="s">
        <v>1147</v>
      </c>
      <c r="J216" s="573"/>
      <c r="K216" s="1502"/>
      <c r="L216" s="216"/>
      <c r="M216" s="343"/>
      <c r="N216" s="336"/>
      <c r="O216" s="1626"/>
      <c r="P216" s="1626"/>
      <c r="AH216" s="1633">
        <v>0</v>
      </c>
    </row>
    <row s="1637" customFormat="1" customHeight="1" ht="0.75" hidden="1">
      <c r="A217" s="1782"/>
      <c r="B217" s="1782"/>
      <c r="C217" s="371" t="s">
        <v>1155</v>
      </c>
      <c r="D217" s="2464"/>
      <c r="E217" s="2206"/>
      <c r="F217" s="2385"/>
      <c r="G217" s="402"/>
      <c r="H217" s="1502"/>
      <c r="I217" s="653"/>
      <c r="J217" s="573"/>
      <c r="K217" s="1502"/>
      <c r="L217" s="216"/>
      <c r="M217" s="343"/>
      <c r="N217" s="336"/>
      <c r="O217" s="1626"/>
      <c r="P217" s="1626"/>
      <c r="AH217" s="1633">
        <v>0</v>
      </c>
    </row>
    <row s="1637" customFormat="1" customHeight="1" ht="45" hidden="1">
      <c r="A218" s="1782" t="s">
        <v>175</v>
      </c>
      <c r="B218" s="1782" t="s">
        <v>176</v>
      </c>
      <c r="C218" s="371"/>
      <c r="D218" s="2464"/>
      <c r="E218" s="2206"/>
      <c r="F218" s="238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9" t="str">
        <f>INDEX(PT_DIFFERENTIATION_NTAR,MATCH(B218,PT_DIFFERENTIATION_NTAR_ID,0))</f>
        <v/>
      </c>
      <c r="H218" s="1864"/>
      <c r="I218" s="1741"/>
      <c r="J218" s="1775"/>
      <c r="K218" s="1780"/>
      <c r="L218" s="1864" t="s">
        <v>306</v>
      </c>
      <c r="M218" s="343"/>
      <c r="N218" s="336"/>
      <c r="O218" s="1626"/>
      <c r="P218" s="1626"/>
      <c r="AH218" s="1633">
        <v>0</v>
      </c>
    </row>
    <row s="1637" customFormat="1" customHeight="1" ht="18.75" hidden="1">
      <c r="A219" s="1782"/>
      <c r="B219" s="1782"/>
      <c r="C219" s="371" t="s">
        <v>1148</v>
      </c>
      <c r="D219" s="2464"/>
      <c r="E219" s="2206"/>
      <c r="F219" s="2385"/>
      <c r="G219" s="2429"/>
      <c r="H219" s="1502"/>
      <c r="I219" s="653" t="s">
        <v>1147</v>
      </c>
      <c r="J219" s="573"/>
      <c r="K219" s="1502"/>
      <c r="L219" s="216"/>
      <c r="M219" s="343"/>
      <c r="N219" s="336"/>
      <c r="O219" s="1626"/>
      <c r="P219" s="1626"/>
      <c r="AH219" s="1633">
        <v>0</v>
      </c>
    </row>
    <row s="1637" customFormat="1" customHeight="1" ht="0.75" hidden="1">
      <c r="A220" s="1782"/>
      <c r="B220" s="1782"/>
      <c r="C220" s="371" t="s">
        <v>1155</v>
      </c>
      <c r="D220" s="2464"/>
      <c r="E220" s="2206"/>
      <c r="F220" s="2385"/>
      <c r="G220" s="402"/>
      <c r="H220" s="1502"/>
      <c r="I220" s="653"/>
      <c r="J220" s="573"/>
      <c r="K220" s="1502"/>
      <c r="L220" s="216"/>
      <c r="M220" s="343"/>
      <c r="N220" s="336"/>
      <c r="O220" s="1626"/>
      <c r="P220" s="1626"/>
      <c r="AH220" s="1633">
        <v>0</v>
      </c>
    </row>
    <row s="1637" customFormat="1" customHeight="1" ht="18.75" hidden="1">
      <c r="A221" s="1782" t="s">
        <v>181</v>
      </c>
      <c r="B221" s="1782" t="s">
        <v>182</v>
      </c>
      <c r="C221" s="371"/>
      <c r="D221" s="2464"/>
      <c r="E221" s="2206"/>
      <c r="F221" s="2385" t="str">
        <f>INDEX(PT_DIFFERENTIATION_VTAR,MATCH(A221,PT_DIFFERENTIATION_VTAR_ID,0))</f>
        <v>Тарифы на услуги по передаче тепловой энергии</v>
      </c>
      <c r="G221" s="2429" t="str">
        <f>INDEX(PT_DIFFERENTIATION_NTAR,MATCH(B221,PT_DIFFERENTIATION_NTAR_ID,0))</f>
        <v/>
      </c>
      <c r="H221" s="1864"/>
      <c r="I221" s="1741"/>
      <c r="J221" s="1775"/>
      <c r="K221" s="1780"/>
      <c r="L221" s="1864" t="s">
        <v>306</v>
      </c>
      <c r="M221" s="343"/>
      <c r="N221" s="336"/>
      <c r="O221" s="1626"/>
      <c r="P221" s="1626"/>
      <c r="AH221" s="1633">
        <v>0</v>
      </c>
    </row>
    <row s="1637" customFormat="1" customHeight="1" ht="18.75" hidden="1">
      <c r="A222" s="1782"/>
      <c r="B222" s="1782"/>
      <c r="C222" s="371" t="s">
        <v>1148</v>
      </c>
      <c r="D222" s="2464"/>
      <c r="E222" s="2206"/>
      <c r="F222" s="2385"/>
      <c r="G222" s="2429"/>
      <c r="H222" s="1502"/>
      <c r="I222" s="653" t="s">
        <v>1147</v>
      </c>
      <c r="J222" s="573"/>
      <c r="K222" s="1502"/>
      <c r="L222" s="216"/>
      <c r="M222" s="343"/>
      <c r="N222" s="336"/>
      <c r="O222" s="1626"/>
      <c r="P222" s="1626"/>
      <c r="AH222" s="1633">
        <v>0</v>
      </c>
    </row>
    <row s="1637" customFormat="1" customHeight="1" ht="0.75" hidden="1">
      <c r="A223" s="1782"/>
      <c r="B223" s="1782"/>
      <c r="C223" s="371" t="s">
        <v>1155</v>
      </c>
      <c r="D223" s="2464"/>
      <c r="E223" s="2206"/>
      <c r="F223" s="2385"/>
      <c r="G223" s="402"/>
      <c r="H223" s="1502"/>
      <c r="I223" s="653"/>
      <c r="J223" s="573"/>
      <c r="K223" s="1502"/>
      <c r="L223" s="216"/>
      <c r="M223" s="343"/>
      <c r="N223" s="336"/>
      <c r="O223" s="1626"/>
      <c r="P223" s="1626"/>
      <c r="AH223" s="1633">
        <v>0</v>
      </c>
    </row>
    <row s="1637" customFormat="1" customHeight="1" ht="18.75" hidden="1">
      <c r="A224" s="1782" t="s">
        <v>187</v>
      </c>
      <c r="B224" s="1782" t="s">
        <v>188</v>
      </c>
      <c r="C224" s="371"/>
      <c r="D224" s="2464"/>
      <c r="E224" s="2206"/>
      <c r="F224" s="2385" t="str">
        <f>INDEX(PT_DIFFERENTIATION_VTAR,MATCH(A224,PT_DIFFERENTIATION_VTAR_ID,0))</f>
        <v>Тарифы на услуги по передаче теплоносителя</v>
      </c>
      <c r="G224" s="2429" t="str">
        <f>INDEX(PT_DIFFERENTIATION_NTAR,MATCH(B224,PT_DIFFERENTIATION_NTAR_ID,0))</f>
        <v/>
      </c>
      <c r="H224" s="1864"/>
      <c r="I224" s="1741"/>
      <c r="J224" s="1775"/>
      <c r="K224" s="1780"/>
      <c r="L224" s="1864" t="s">
        <v>306</v>
      </c>
      <c r="M224" s="343"/>
      <c r="N224" s="336"/>
      <c r="O224" s="1626"/>
      <c r="P224" s="1626"/>
      <c r="AH224" s="1633">
        <v>0</v>
      </c>
    </row>
    <row s="1637" customFormat="1" customHeight="1" ht="18.75" hidden="1">
      <c r="A225" s="1782"/>
      <c r="B225" s="1782"/>
      <c r="C225" s="371" t="s">
        <v>1148</v>
      </c>
      <c r="D225" s="2464"/>
      <c r="E225" s="2206"/>
      <c r="F225" s="2385"/>
      <c r="G225" s="2429"/>
      <c r="H225" s="1502"/>
      <c r="I225" s="653" t="s">
        <v>1147</v>
      </c>
      <c r="J225" s="573"/>
      <c r="K225" s="1502"/>
      <c r="L225" s="216"/>
      <c r="M225" s="343"/>
      <c r="N225" s="336"/>
      <c r="O225" s="1626"/>
      <c r="P225" s="1626"/>
      <c r="AH225" s="1633">
        <v>0</v>
      </c>
    </row>
    <row s="1637" customFormat="1" customHeight="1" ht="0.75" hidden="1">
      <c r="A226" s="1782"/>
      <c r="B226" s="1782"/>
      <c r="C226" s="371" t="s">
        <v>1155</v>
      </c>
      <c r="D226" s="2464"/>
      <c r="E226" s="2206"/>
      <c r="F226" s="2385"/>
      <c r="G226" s="402"/>
      <c r="H226" s="1502"/>
      <c r="I226" s="653"/>
      <c r="J226" s="573"/>
      <c r="K226" s="1502"/>
      <c r="L226" s="216"/>
      <c r="M226" s="343"/>
      <c r="N226" s="336"/>
      <c r="O226" s="1626"/>
      <c r="P226" s="1626"/>
      <c r="AH226" s="1633">
        <v>0</v>
      </c>
    </row>
    <row s="1637" customFormat="1" customHeight="1" ht="18.75" hidden="1">
      <c r="A227" s="1782" t="s">
        <v>193</v>
      </c>
      <c r="B227" s="1782" t="s">
        <v>194</v>
      </c>
      <c r="C227" s="371"/>
      <c r="D227" s="2464"/>
      <c r="E227" s="2206"/>
      <c r="F227" s="238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9" t="str">
        <f>INDEX(PT_DIFFERENTIATION_NTAR,MATCH(B227,PT_DIFFERENTIATION_NTAR_ID,0))</f>
        <v/>
      </c>
      <c r="H227" s="1864"/>
      <c r="I227" s="1741"/>
      <c r="J227" s="1775"/>
      <c r="K227" s="1780"/>
      <c r="L227" s="1864" t="s">
        <v>306</v>
      </c>
      <c r="M227" s="343"/>
      <c r="N227" s="336"/>
      <c r="O227" s="1626"/>
      <c r="P227" s="1626"/>
      <c r="AH227" s="1633">
        <v>0</v>
      </c>
    </row>
    <row s="1637" customFormat="1" customHeight="1" ht="18.75" hidden="1">
      <c r="A228" s="1782"/>
      <c r="B228" s="1782"/>
      <c r="C228" s="371" t="s">
        <v>1148</v>
      </c>
      <c r="D228" s="2464"/>
      <c r="E228" s="2206"/>
      <c r="F228" s="2385"/>
      <c r="G228" s="2429"/>
      <c r="H228" s="1502"/>
      <c r="I228" s="653" t="s">
        <v>1147</v>
      </c>
      <c r="J228" s="573"/>
      <c r="K228" s="1502"/>
      <c r="L228" s="216"/>
      <c r="M228" s="343"/>
      <c r="N228" s="336"/>
      <c r="O228" s="1626"/>
      <c r="P228" s="1626"/>
      <c r="AH228" s="1633">
        <v>0</v>
      </c>
    </row>
    <row s="1637" customFormat="1" customHeight="1" ht="0.75" hidden="1">
      <c r="A229" s="1782"/>
      <c r="B229" s="1782"/>
      <c r="C229" s="371" t="s">
        <v>1155</v>
      </c>
      <c r="D229" s="2464"/>
      <c r="E229" s="2206"/>
      <c r="F229" s="2385"/>
      <c r="G229" s="402"/>
      <c r="H229" s="1502"/>
      <c r="I229" s="653"/>
      <c r="J229" s="573"/>
      <c r="K229" s="1502"/>
      <c r="L229" s="216"/>
      <c r="M229" s="343"/>
      <c r="N229" s="336"/>
      <c r="O229" s="1626"/>
      <c r="P229" s="1626"/>
      <c r="AH229" s="1633">
        <v>0</v>
      </c>
    </row>
    <row s="1637" customFormat="1" customHeight="1" ht="18.75" hidden="1">
      <c r="A230" s="1782" t="s">
        <v>199</v>
      </c>
      <c r="B230" s="1782" t="s">
        <v>200</v>
      </c>
      <c r="C230" s="371"/>
      <c r="D230" s="2464"/>
      <c r="E230" s="2206"/>
      <c r="F230" s="2385" t="str">
        <f>INDEX(PT_DIFFERENTIATION_VTAR,MATCH(A230,PT_DIFFERENTIATION_VTAR_ID,0))</f>
        <v>Плата за подключение (технологическое присоединение) к системе теплоснабжения</v>
      </c>
      <c r="G230" s="2429" t="str">
        <f>INDEX(PT_DIFFERENTIATION_NTAR,MATCH(B230,PT_DIFFERENTIATION_NTAR_ID,0))</f>
        <v/>
      </c>
      <c r="H230" s="1864"/>
      <c r="I230" s="1741"/>
      <c r="J230" s="1775"/>
      <c r="K230" s="1780"/>
      <c r="L230" s="1864" t="s">
        <v>306</v>
      </c>
      <c r="M230" s="343"/>
      <c r="N230" s="336"/>
      <c r="O230" s="1626"/>
      <c r="P230" s="1626"/>
      <c r="AH230" s="1633">
        <v>0</v>
      </c>
    </row>
    <row s="1637" customFormat="1" customHeight="1" ht="18.75" hidden="1">
      <c r="A231" s="1782"/>
      <c r="B231" s="1782"/>
      <c r="C231" s="371" t="s">
        <v>1148</v>
      </c>
      <c r="D231" s="2464"/>
      <c r="E231" s="2206"/>
      <c r="F231" s="2385"/>
      <c r="G231" s="2429"/>
      <c r="H231" s="1502"/>
      <c r="I231" s="653" t="s">
        <v>1147</v>
      </c>
      <c r="J231" s="573"/>
      <c r="K231" s="1502"/>
      <c r="L231" s="216"/>
      <c r="M231" s="343"/>
      <c r="N231" s="336"/>
      <c r="O231" s="1626"/>
      <c r="P231" s="1626"/>
      <c r="AH231" s="1633">
        <v>0</v>
      </c>
    </row>
    <row s="1637" customFormat="1" customHeight="1" ht="0.75" hidden="1">
      <c r="A232" s="1782"/>
      <c r="B232" s="1782"/>
      <c r="C232" s="371" t="s">
        <v>1155</v>
      </c>
      <c r="D232" s="2464"/>
      <c r="E232" s="2206"/>
      <c r="F232" s="2385"/>
      <c r="G232" s="402"/>
      <c r="H232" s="1502"/>
      <c r="I232" s="653"/>
      <c r="J232" s="573"/>
      <c r="K232" s="1502"/>
      <c r="L232" s="216"/>
      <c r="M232" s="343"/>
      <c r="N232" s="336"/>
      <c r="O232" s="1626"/>
      <c r="P232" s="1626"/>
      <c r="AH232" s="1633">
        <v>0</v>
      </c>
    </row>
    <row s="1637" customFormat="1" customHeight="1" ht="18.75" hidden="1">
      <c r="A233" s="1782" t="s">
        <v>205</v>
      </c>
      <c r="B233" s="1782" t="s">
        <v>206</v>
      </c>
      <c r="C233" s="371"/>
      <c r="D233" s="2464"/>
      <c r="E233" s="2206"/>
      <c r="F233" s="2385" t="str">
        <f>INDEX(PT_DIFFERENTIATION_VTAR,MATCH(A233,PT_DIFFERENTIATION_VTAR_ID,0))</f>
        <v>Плата за подключение (технологическое присоединение) к системе теплоснабжения (индивидуальная)</v>
      </c>
      <c r="G233" s="2429" t="str">
        <f>INDEX(PT_DIFFERENTIATION_NTAR,MATCH(B233,PT_DIFFERENTIATION_NTAR_ID,0))</f>
        <v/>
      </c>
      <c r="H233" s="1991"/>
      <c r="I233" s="1741"/>
      <c r="J233" s="1775"/>
      <c r="K233" s="1780"/>
      <c r="L233" s="1991" t="s">
        <v>306</v>
      </c>
      <c r="M233" s="343"/>
      <c r="N233" s="336"/>
      <c r="O233" s="1626"/>
      <c r="P233" s="1626"/>
      <c r="AH233" s="1633">
        <v>0</v>
      </c>
    </row>
    <row s="1637" customFormat="1" customHeight="1" ht="18.75" hidden="1">
      <c r="A234" s="1782"/>
      <c r="B234" s="1782"/>
      <c r="C234" s="371" t="s">
        <v>1148</v>
      </c>
      <c r="D234" s="2464"/>
      <c r="E234" s="2206"/>
      <c r="F234" s="2385"/>
      <c r="G234" s="2429"/>
      <c r="H234" s="1502"/>
      <c r="I234" s="653" t="s">
        <v>1147</v>
      </c>
      <c r="J234" s="573"/>
      <c r="K234" s="1502"/>
      <c r="L234" s="216"/>
      <c r="M234" s="343"/>
      <c r="N234" s="336"/>
      <c r="O234" s="1626"/>
      <c r="P234" s="1626"/>
      <c r="AH234" s="1633">
        <v>0</v>
      </c>
    </row>
    <row s="1637" customFormat="1" customHeight="1" ht="0.75" hidden="1">
      <c r="A235" s="1782"/>
      <c r="B235" s="1782"/>
      <c r="C235" s="371" t="s">
        <v>1155</v>
      </c>
      <c r="D235" s="2464"/>
      <c r="E235" s="2206"/>
      <c r="F235" s="2385"/>
      <c r="G235" s="402"/>
      <c r="H235" s="1502"/>
      <c r="I235" s="653"/>
      <c r="J235" s="573"/>
      <c r="K235" s="1502"/>
      <c r="L235" s="216"/>
      <c r="M235" s="343"/>
      <c r="N235" s="336"/>
      <c r="O235" s="1626"/>
      <c r="P235" s="1626"/>
      <c r="AH235" s="1633">
        <v>0</v>
      </c>
    </row>
    <row s="1637" customFormat="1" customHeight="1" ht="18.75" hidden="1">
      <c r="A236" s="1782" t="s">
        <v>225</v>
      </c>
      <c r="B236" s="1782" t="s">
        <v>226</v>
      </c>
      <c r="C236" s="371"/>
      <c r="D236" s="2464"/>
      <c r="E236" s="2206"/>
      <c r="F236" s="2385" t="str">
        <f>INDEX(PT_DIFFERENTIATION_VTAR,MATCH(A236,PT_DIFFERENTIATION_VTAR_ID,0))</f>
        <v>Тариф на питьевую воду (питьевое водоснабжение)</v>
      </c>
      <c r="G236" s="2429" t="str">
        <f>INDEX(PT_DIFFERENTIATION_NTAR,MATCH(B236,PT_DIFFERENTIATION_NTAR_ID,0))</f>
        <v/>
      </c>
      <c r="H236" s="1864"/>
      <c r="I236" s="1741"/>
      <c r="J236" s="1775"/>
      <c r="K236" s="1780"/>
      <c r="L236" s="1864" t="s">
        <v>306</v>
      </c>
      <c r="M236" s="343"/>
      <c r="N236" s="336"/>
      <c r="O236" s="1626"/>
      <c r="P236" s="1626"/>
      <c r="AH236" s="1633">
        <v>0</v>
      </c>
    </row>
    <row s="1637" customFormat="1" customHeight="1" ht="18.75" hidden="1">
      <c r="A237" s="1782"/>
      <c r="B237" s="1782"/>
      <c r="C237" s="371" t="s">
        <v>1148</v>
      </c>
      <c r="D237" s="2464"/>
      <c r="E237" s="2206"/>
      <c r="F237" s="2385"/>
      <c r="G237" s="2429"/>
      <c r="H237" s="1502"/>
      <c r="I237" s="653" t="s">
        <v>1147</v>
      </c>
      <c r="J237" s="573"/>
      <c r="K237" s="1502"/>
      <c r="L237" s="216"/>
      <c r="M237" s="343"/>
      <c r="N237" s="336"/>
      <c r="O237" s="1626"/>
      <c r="P237" s="1626"/>
      <c r="AH237" s="1633">
        <v>0</v>
      </c>
    </row>
    <row s="1637" customFormat="1" customHeight="1" ht="0.75" hidden="1">
      <c r="A238" s="1782"/>
      <c r="B238" s="1782"/>
      <c r="C238" s="371" t="s">
        <v>1155</v>
      </c>
      <c r="D238" s="2464"/>
      <c r="E238" s="2206"/>
      <c r="F238" s="2385"/>
      <c r="G238" s="402"/>
      <c r="H238" s="1502"/>
      <c r="I238" s="653"/>
      <c r="J238" s="573"/>
      <c r="K238" s="1502"/>
      <c r="L238" s="216"/>
      <c r="M238" s="343"/>
      <c r="N238" s="336"/>
      <c r="O238" s="1626"/>
      <c r="P238" s="1626"/>
      <c r="AH238" s="1633">
        <v>0</v>
      </c>
    </row>
    <row s="1637" customFormat="1" customHeight="1" ht="18.75" hidden="1">
      <c r="A239" s="1782" t="s">
        <v>230</v>
      </c>
      <c r="B239" s="1782" t="s">
        <v>231</v>
      </c>
      <c r="C239" s="371"/>
      <c r="D239" s="2464"/>
      <c r="E239" s="2206"/>
      <c r="F239" s="2385" t="str">
        <f>INDEX(PT_DIFFERENTIATION_VTAR,MATCH(A239,PT_DIFFERENTIATION_VTAR_ID,0))</f>
        <v>Тариф на техническую воду</v>
      </c>
      <c r="G239" s="2429" t="str">
        <f>INDEX(PT_DIFFERENTIATION_NTAR,MATCH(B239,PT_DIFFERENTIATION_NTAR_ID,0))</f>
        <v/>
      </c>
      <c r="H239" s="1864"/>
      <c r="I239" s="1741"/>
      <c r="J239" s="1775"/>
      <c r="K239" s="1780"/>
      <c r="L239" s="1864" t="s">
        <v>306</v>
      </c>
      <c r="M239" s="343"/>
      <c r="N239" s="336"/>
      <c r="O239" s="1626"/>
      <c r="P239" s="1626"/>
      <c r="AH239" s="1633">
        <v>0</v>
      </c>
    </row>
    <row s="1637" customFormat="1" customHeight="1" ht="18.75" hidden="1">
      <c r="A240" s="1782"/>
      <c r="B240" s="1782"/>
      <c r="C240" s="371" t="s">
        <v>1148</v>
      </c>
      <c r="D240" s="2464"/>
      <c r="E240" s="2206"/>
      <c r="F240" s="2385"/>
      <c r="G240" s="2429"/>
      <c r="H240" s="1502"/>
      <c r="I240" s="653" t="s">
        <v>1147</v>
      </c>
      <c r="J240" s="573"/>
      <c r="K240" s="1502"/>
      <c r="L240" s="216"/>
      <c r="M240" s="343"/>
      <c r="N240" s="336"/>
      <c r="O240" s="1626"/>
      <c r="P240" s="1626"/>
      <c r="AH240" s="1633">
        <v>0</v>
      </c>
    </row>
    <row s="1637" customFormat="1" customHeight="1" ht="0.75" hidden="1">
      <c r="A241" s="1782"/>
      <c r="B241" s="1782"/>
      <c r="C241" s="371" t="s">
        <v>1155</v>
      </c>
      <c r="D241" s="2464"/>
      <c r="E241" s="2206"/>
      <c r="F241" s="2385"/>
      <c r="G241" s="402"/>
      <c r="H241" s="1502"/>
      <c r="I241" s="653"/>
      <c r="J241" s="573"/>
      <c r="K241" s="1502"/>
      <c r="L241" s="216"/>
      <c r="M241" s="343"/>
      <c r="N241" s="336"/>
      <c r="O241" s="1626"/>
      <c r="P241" s="1626"/>
      <c r="AH241" s="1633">
        <v>0</v>
      </c>
    </row>
    <row s="1637" customFormat="1" customHeight="1" ht="18.75" hidden="1">
      <c r="A242" s="1782" t="s">
        <v>235</v>
      </c>
      <c r="B242" s="1782" t="s">
        <v>236</v>
      </c>
      <c r="C242" s="371"/>
      <c r="D242" s="2464"/>
      <c r="E242" s="2206"/>
      <c r="F242" s="2385" t="str">
        <f>INDEX(PT_DIFFERENTIATION_VTAR,MATCH(A242,PT_DIFFERENTIATION_VTAR_ID,0))</f>
        <v>Тариф на транспортировку воды</v>
      </c>
      <c r="G242" s="2429" t="str">
        <f>INDEX(PT_DIFFERENTIATION_NTAR,MATCH(B242,PT_DIFFERENTIATION_NTAR_ID,0))</f>
        <v/>
      </c>
      <c r="H242" s="1864"/>
      <c r="I242" s="1741"/>
      <c r="J242" s="1775"/>
      <c r="K242" s="1780"/>
      <c r="L242" s="1864" t="s">
        <v>306</v>
      </c>
      <c r="M242" s="343"/>
      <c r="N242" s="336"/>
      <c r="O242" s="1626"/>
      <c r="P242" s="1626"/>
      <c r="AH242" s="1633">
        <v>0</v>
      </c>
    </row>
    <row s="1637" customFormat="1" customHeight="1" ht="18.75" hidden="1">
      <c r="A243" s="1782"/>
      <c r="B243" s="1782"/>
      <c r="C243" s="371" t="s">
        <v>1148</v>
      </c>
      <c r="D243" s="2464"/>
      <c r="E243" s="2206"/>
      <c r="F243" s="2385"/>
      <c r="G243" s="2429"/>
      <c r="H243" s="1502"/>
      <c r="I243" s="653" t="s">
        <v>1147</v>
      </c>
      <c r="J243" s="573"/>
      <c r="K243" s="1502"/>
      <c r="L243" s="216"/>
      <c r="M243" s="343"/>
      <c r="N243" s="336"/>
      <c r="O243" s="1626"/>
      <c r="P243" s="1626"/>
      <c r="AH243" s="1633">
        <v>0</v>
      </c>
    </row>
    <row s="1637" customFormat="1" customHeight="1" ht="0.75" hidden="1">
      <c r="A244" s="1782"/>
      <c r="B244" s="1782"/>
      <c r="C244" s="371" t="s">
        <v>1155</v>
      </c>
      <c r="D244" s="2464"/>
      <c r="E244" s="2206"/>
      <c r="F244" s="2385"/>
      <c r="G244" s="402"/>
      <c r="H244" s="1502"/>
      <c r="I244" s="653"/>
      <c r="J244" s="573"/>
      <c r="K244" s="1502"/>
      <c r="L244" s="216"/>
      <c r="M244" s="343"/>
      <c r="N244" s="336"/>
      <c r="O244" s="1626"/>
      <c r="P244" s="1626"/>
      <c r="AH244" s="1633">
        <v>0</v>
      </c>
    </row>
    <row s="1637" customFormat="1" customHeight="1" ht="18.75" hidden="1">
      <c r="A245" s="1782" t="s">
        <v>240</v>
      </c>
      <c r="B245" s="1782" t="s">
        <v>241</v>
      </c>
      <c r="C245" s="371"/>
      <c r="D245" s="2464"/>
      <c r="E245" s="2206"/>
      <c r="F245" s="2385" t="str">
        <f>INDEX(PT_DIFFERENTIATION_VTAR,MATCH(A245,PT_DIFFERENTIATION_VTAR_ID,0))</f>
        <v>Тариф на подвоз воды</v>
      </c>
      <c r="G245" s="2429" t="str">
        <f>INDEX(PT_DIFFERENTIATION_NTAR,MATCH(B245,PT_DIFFERENTIATION_NTAR_ID,0))</f>
        <v/>
      </c>
      <c r="H245" s="1864"/>
      <c r="I245" s="1741"/>
      <c r="J245" s="1775"/>
      <c r="K245" s="1780"/>
      <c r="L245" s="1864" t="s">
        <v>306</v>
      </c>
      <c r="M245" s="343"/>
      <c r="N245" s="336"/>
      <c r="O245" s="1626"/>
      <c r="P245" s="1626"/>
      <c r="AH245" s="1633">
        <v>0</v>
      </c>
    </row>
    <row s="1637" customFormat="1" customHeight="1" ht="18.75" hidden="1">
      <c r="A246" s="1782"/>
      <c r="B246" s="1782"/>
      <c r="C246" s="371" t="s">
        <v>1148</v>
      </c>
      <c r="D246" s="2464"/>
      <c r="E246" s="2206"/>
      <c r="F246" s="2385"/>
      <c r="G246" s="2429"/>
      <c r="H246" s="1502"/>
      <c r="I246" s="653" t="s">
        <v>1147</v>
      </c>
      <c r="J246" s="573"/>
      <c r="K246" s="1502"/>
      <c r="L246" s="216"/>
      <c r="M246" s="343"/>
      <c r="N246" s="336"/>
      <c r="O246" s="1626"/>
      <c r="P246" s="1626"/>
      <c r="AH246" s="1633">
        <v>0</v>
      </c>
    </row>
    <row s="1637" customFormat="1" customHeight="1" ht="0.75" hidden="1">
      <c r="A247" s="1782"/>
      <c r="B247" s="1782"/>
      <c r="C247" s="371" t="s">
        <v>1155</v>
      </c>
      <c r="D247" s="2464"/>
      <c r="E247" s="2206"/>
      <c r="F247" s="2385"/>
      <c r="G247" s="402"/>
      <c r="H247" s="1502"/>
      <c r="I247" s="653"/>
      <c r="J247" s="573"/>
      <c r="K247" s="1502"/>
      <c r="L247" s="216"/>
      <c r="M247" s="343"/>
      <c r="N247" s="336"/>
      <c r="O247" s="1626"/>
      <c r="P247" s="1626"/>
      <c r="AH247" s="1633">
        <v>0</v>
      </c>
    </row>
    <row s="1637" customFormat="1" customHeight="1" ht="18.75" hidden="1">
      <c r="A248" s="1782" t="s">
        <v>245</v>
      </c>
      <c r="B248" s="1782" t="s">
        <v>246</v>
      </c>
      <c r="C248" s="371"/>
      <c r="D248" s="2464"/>
      <c r="E248" s="2206"/>
      <c r="F248" s="238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9" t="str">
        <f>INDEX(PT_DIFFERENTIATION_NTAR,MATCH(B248,PT_DIFFERENTIATION_NTAR_ID,0))</f>
        <v/>
      </c>
      <c r="H248" s="1864"/>
      <c r="I248" s="1741"/>
      <c r="J248" s="1775"/>
      <c r="K248" s="1780"/>
      <c r="L248" s="1864" t="s">
        <v>306</v>
      </c>
      <c r="M248" s="343"/>
      <c r="N248" s="336"/>
      <c r="O248" s="1626"/>
      <c r="P248" s="1626"/>
      <c r="AH248" s="1633">
        <v>0</v>
      </c>
    </row>
    <row s="1637" customFormat="1" customHeight="1" ht="18.75" hidden="1">
      <c r="A249" s="1782"/>
      <c r="B249" s="1782"/>
      <c r="C249" s="371" t="s">
        <v>1148</v>
      </c>
      <c r="D249" s="2464"/>
      <c r="E249" s="2206"/>
      <c r="F249" s="2385"/>
      <c r="G249" s="2429"/>
      <c r="H249" s="1502"/>
      <c r="I249" s="653" t="s">
        <v>1147</v>
      </c>
      <c r="J249" s="573"/>
      <c r="K249" s="1502"/>
      <c r="L249" s="216"/>
      <c r="M249" s="343"/>
      <c r="N249" s="336"/>
      <c r="O249" s="1626"/>
      <c r="P249" s="1626"/>
      <c r="AH249" s="1633">
        <v>0</v>
      </c>
    </row>
    <row s="1637" customFormat="1" customHeight="1" ht="0.75" hidden="1">
      <c r="A250" s="1782"/>
      <c r="B250" s="1782"/>
      <c r="C250" s="371" t="s">
        <v>1155</v>
      </c>
      <c r="D250" s="2464"/>
      <c r="E250" s="2206"/>
      <c r="F250" s="2385"/>
      <c r="G250" s="402"/>
      <c r="H250" s="1502"/>
      <c r="I250" s="653"/>
      <c r="J250" s="573"/>
      <c r="K250" s="1502"/>
      <c r="L250" s="216"/>
      <c r="M250" s="343"/>
      <c r="N250" s="336"/>
      <c r="O250" s="1626"/>
      <c r="P250" s="1626"/>
      <c r="AH250" s="1633">
        <v>0</v>
      </c>
    </row>
    <row s="1637" customFormat="1" customHeight="1" ht="18.75" hidden="1">
      <c r="A251" s="1782" t="s">
        <v>250</v>
      </c>
      <c r="B251" s="1782" t="s">
        <v>251</v>
      </c>
      <c r="C251" s="371"/>
      <c r="D251" s="2464"/>
      <c r="E251" s="2206"/>
      <c r="F251" s="2385" t="str">
        <f>INDEX(PT_DIFFERENTIATION_VTAR,MATCH(A251,PT_DIFFERENTIATION_VTAR_ID,0))</f>
        <v>Тариф на горячую воду (горячее водоснабжение)</v>
      </c>
      <c r="G251" s="2429" t="str">
        <f>INDEX(PT_DIFFERENTIATION_NTAR,MATCH(B251,PT_DIFFERENTIATION_NTAR_ID,0))</f>
        <v/>
      </c>
      <c r="H251" s="1864"/>
      <c r="I251" s="1741"/>
      <c r="J251" s="1775"/>
      <c r="K251" s="1780"/>
      <c r="L251" s="1864" t="s">
        <v>306</v>
      </c>
      <c r="M251" s="343"/>
      <c r="N251" s="336"/>
      <c r="O251" s="1626"/>
      <c r="P251" s="1626"/>
      <c r="AH251" s="1633">
        <v>0</v>
      </c>
    </row>
    <row s="1637" customFormat="1" customHeight="1" ht="18.75" hidden="1">
      <c r="A252" s="1782"/>
      <c r="B252" s="1782"/>
      <c r="C252" s="371" t="s">
        <v>1148</v>
      </c>
      <c r="D252" s="2464"/>
      <c r="E252" s="2206"/>
      <c r="F252" s="2385"/>
      <c r="G252" s="2429"/>
      <c r="H252" s="1502"/>
      <c r="I252" s="653" t="s">
        <v>1147</v>
      </c>
      <c r="J252" s="573"/>
      <c r="K252" s="1502"/>
      <c r="L252" s="216"/>
      <c r="M252" s="343"/>
      <c r="N252" s="336"/>
      <c r="O252" s="1626"/>
      <c r="P252" s="1626"/>
      <c r="AH252" s="1633">
        <v>0</v>
      </c>
    </row>
    <row s="1637" customFormat="1" customHeight="1" ht="0.75" hidden="1">
      <c r="A253" s="1782"/>
      <c r="B253" s="1782"/>
      <c r="C253" s="371" t="s">
        <v>1155</v>
      </c>
      <c r="D253" s="2464"/>
      <c r="E253" s="2206"/>
      <c r="F253" s="2385"/>
      <c r="G253" s="402"/>
      <c r="H253" s="1502"/>
      <c r="I253" s="653"/>
      <c r="J253" s="573"/>
      <c r="K253" s="1502"/>
      <c r="L253" s="216"/>
      <c r="M253" s="343"/>
      <c r="N253" s="336"/>
      <c r="O253" s="1626"/>
      <c r="P253" s="1626"/>
      <c r="AH253" s="1633">
        <v>0</v>
      </c>
    </row>
    <row s="1637" customFormat="1" customHeight="1" ht="18.75" hidden="1">
      <c r="A254" s="1782" t="s">
        <v>255</v>
      </c>
      <c r="B254" s="1782" t="s">
        <v>256</v>
      </c>
      <c r="C254" s="371"/>
      <c r="D254" s="2464"/>
      <c r="E254" s="2206"/>
      <c r="F254" s="2385" t="str">
        <f>INDEX(PT_DIFFERENTIATION_VTAR,MATCH(A254,PT_DIFFERENTIATION_VTAR_ID,0))</f>
        <v>Тариф на транспортировку горячей воды</v>
      </c>
      <c r="G254" s="2429" t="str">
        <f>INDEX(PT_DIFFERENTIATION_NTAR,MATCH(B254,PT_DIFFERENTIATION_NTAR_ID,0))</f>
        <v/>
      </c>
      <c r="H254" s="1864"/>
      <c r="I254" s="1741"/>
      <c r="J254" s="1775"/>
      <c r="K254" s="1780"/>
      <c r="L254" s="1864" t="s">
        <v>306</v>
      </c>
      <c r="M254" s="343"/>
      <c r="N254" s="336"/>
      <c r="O254" s="1626"/>
      <c r="P254" s="1626"/>
      <c r="AH254" s="1633">
        <v>0</v>
      </c>
    </row>
    <row s="1637" customFormat="1" customHeight="1" ht="18.75" hidden="1">
      <c r="A255" s="1782"/>
      <c r="B255" s="1782"/>
      <c r="C255" s="371" t="s">
        <v>1148</v>
      </c>
      <c r="D255" s="2464"/>
      <c r="E255" s="2206"/>
      <c r="F255" s="2385"/>
      <c r="G255" s="2429"/>
      <c r="H255" s="1502"/>
      <c r="I255" s="653" t="s">
        <v>1147</v>
      </c>
      <c r="J255" s="573"/>
      <c r="K255" s="1502"/>
      <c r="L255" s="216"/>
      <c r="M255" s="343"/>
      <c r="N255" s="336"/>
      <c r="O255" s="1626"/>
      <c r="P255" s="1626"/>
      <c r="AH255" s="1633">
        <v>0</v>
      </c>
    </row>
    <row s="1637" customFormat="1" customHeight="1" ht="0.75" hidden="1">
      <c r="A256" s="1782"/>
      <c r="B256" s="1782"/>
      <c r="C256" s="371" t="s">
        <v>1155</v>
      </c>
      <c r="D256" s="2464"/>
      <c r="E256" s="2206"/>
      <c r="F256" s="2385"/>
      <c r="G256" s="402"/>
      <c r="H256" s="1502"/>
      <c r="I256" s="653"/>
      <c r="J256" s="573"/>
      <c r="K256" s="1502"/>
      <c r="L256" s="216"/>
      <c r="M256" s="343"/>
      <c r="N256" s="336"/>
      <c r="O256" s="1626"/>
      <c r="P256" s="1626"/>
      <c r="AH256" s="1633">
        <v>0</v>
      </c>
    </row>
    <row s="1637" customFormat="1" customHeight="1" ht="18.75" hidden="1">
      <c r="A257" s="1782" t="s">
        <v>260</v>
      </c>
      <c r="B257" s="1782" t="s">
        <v>261</v>
      </c>
      <c r="C257" s="371"/>
      <c r="D257" s="2464"/>
      <c r="E257" s="2206"/>
      <c r="F257" s="238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9" t="str">
        <f>INDEX(PT_DIFFERENTIATION_NTAR,MATCH(B257,PT_DIFFERENTIATION_NTAR_ID,0))</f>
        <v/>
      </c>
      <c r="H257" s="1864"/>
      <c r="I257" s="1741"/>
      <c r="J257" s="1775"/>
      <c r="K257" s="1780"/>
      <c r="L257" s="1864" t="s">
        <v>306</v>
      </c>
      <c r="M257" s="343"/>
      <c r="N257" s="336"/>
      <c r="O257" s="1626"/>
      <c r="P257" s="1626"/>
      <c r="AH257" s="1633">
        <v>0</v>
      </c>
    </row>
    <row s="1637" customFormat="1" customHeight="1" ht="18.75" hidden="1">
      <c r="A258" s="1782"/>
      <c r="B258" s="1782"/>
      <c r="C258" s="371" t="s">
        <v>1148</v>
      </c>
      <c r="D258" s="2464"/>
      <c r="E258" s="2206"/>
      <c r="F258" s="2385"/>
      <c r="G258" s="2429"/>
      <c r="H258" s="1502"/>
      <c r="I258" s="653" t="s">
        <v>1147</v>
      </c>
      <c r="J258" s="573"/>
      <c r="K258" s="1502"/>
      <c r="L258" s="216"/>
      <c r="M258" s="343"/>
      <c r="N258" s="336"/>
      <c r="O258" s="1626"/>
      <c r="P258" s="1626"/>
      <c r="AH258" s="1633">
        <v>0</v>
      </c>
    </row>
    <row s="1637" customFormat="1" customHeight="1" ht="0.75" hidden="1">
      <c r="A259" s="1782"/>
      <c r="B259" s="1782"/>
      <c r="C259" s="371" t="s">
        <v>1155</v>
      </c>
      <c r="D259" s="2464"/>
      <c r="E259" s="2206"/>
      <c r="F259" s="2385"/>
      <c r="G259" s="402"/>
      <c r="H259" s="1502"/>
      <c r="I259" s="653"/>
      <c r="J259" s="573"/>
      <c r="K259" s="1502"/>
      <c r="L259" s="216"/>
      <c r="M259" s="343"/>
      <c r="N259" s="336"/>
      <c r="O259" s="1626"/>
      <c r="P259" s="1626"/>
      <c r="AH259" s="1633">
        <v>0</v>
      </c>
    </row>
    <row s="1637" customFormat="1" customHeight="1" ht="18.75" hidden="1">
      <c r="A260" s="1782" t="s">
        <v>265</v>
      </c>
      <c r="B260" s="1782" t="s">
        <v>266</v>
      </c>
      <c r="C260" s="371"/>
      <c r="D260" s="2464"/>
      <c r="E260" s="2206"/>
      <c r="F260" s="2385" t="str">
        <f>INDEX(PT_DIFFERENTIATION_VTAR,MATCH(A260,PT_DIFFERENTIATION_VTAR_ID,0))</f>
        <v>Тариф на водоотведение</v>
      </c>
      <c r="G260" s="2429" t="str">
        <f>INDEX(PT_DIFFERENTIATION_NTAR,MATCH(B260,PT_DIFFERENTIATION_NTAR_ID,0))</f>
        <v/>
      </c>
      <c r="H260" s="1864"/>
      <c r="I260" s="1741"/>
      <c r="J260" s="1775"/>
      <c r="K260" s="1780"/>
      <c r="L260" s="1864" t="s">
        <v>306</v>
      </c>
      <c r="M260" s="343"/>
      <c r="N260" s="336"/>
      <c r="O260" s="1626"/>
      <c r="P260" s="1626"/>
      <c r="AH260" s="1633">
        <v>0</v>
      </c>
    </row>
    <row s="1637" customFormat="1" customHeight="1" ht="18.75" hidden="1">
      <c r="A261" s="1782"/>
      <c r="B261" s="1782"/>
      <c r="C261" s="371" t="s">
        <v>1148</v>
      </c>
      <c r="D261" s="2464"/>
      <c r="E261" s="2206"/>
      <c r="F261" s="2385"/>
      <c r="G261" s="2429"/>
      <c r="H261" s="1502"/>
      <c r="I261" s="653" t="s">
        <v>1147</v>
      </c>
      <c r="J261" s="573"/>
      <c r="K261" s="1502"/>
      <c r="L261" s="216"/>
      <c r="M261" s="343"/>
      <c r="N261" s="336"/>
      <c r="O261" s="1626"/>
      <c r="P261" s="1626"/>
      <c r="AH261" s="1633">
        <v>0</v>
      </c>
    </row>
    <row s="1637" customFormat="1" customHeight="1" ht="0.75" hidden="1">
      <c r="A262" s="1782"/>
      <c r="B262" s="1782"/>
      <c r="C262" s="371" t="s">
        <v>1155</v>
      </c>
      <c r="D262" s="2464"/>
      <c r="E262" s="2206"/>
      <c r="F262" s="2385"/>
      <c r="G262" s="402"/>
      <c r="H262" s="1502"/>
      <c r="I262" s="653"/>
      <c r="J262" s="573"/>
      <c r="K262" s="1502"/>
      <c r="L262" s="216"/>
      <c r="M262" s="343"/>
      <c r="N262" s="336"/>
      <c r="O262" s="1626"/>
      <c r="P262" s="1626"/>
      <c r="AH262" s="1633">
        <v>0</v>
      </c>
    </row>
    <row s="1637" customFormat="1" customHeight="1" ht="18.75" hidden="1">
      <c r="A263" s="1782" t="s">
        <v>270</v>
      </c>
      <c r="B263" s="1782" t="s">
        <v>271</v>
      </c>
      <c r="C263" s="371"/>
      <c r="D263" s="2464"/>
      <c r="E263" s="2206"/>
      <c r="F263" s="2385" t="str">
        <f>INDEX(PT_DIFFERENTIATION_VTAR,MATCH(A263,PT_DIFFERENTIATION_VTAR_ID,0))</f>
        <v>Тариф на транспортировку сточных вод</v>
      </c>
      <c r="G263" s="2429" t="str">
        <f>INDEX(PT_DIFFERENTIATION_NTAR,MATCH(B263,PT_DIFFERENTIATION_NTAR_ID,0))</f>
        <v/>
      </c>
      <c r="H263" s="1864"/>
      <c r="I263" s="1741"/>
      <c r="J263" s="1775"/>
      <c r="K263" s="1780"/>
      <c r="L263" s="1864" t="s">
        <v>306</v>
      </c>
      <c r="M263" s="343"/>
      <c r="N263" s="336"/>
      <c r="O263" s="1626"/>
      <c r="P263" s="1626"/>
      <c r="AH263" s="1633">
        <v>0</v>
      </c>
    </row>
    <row s="1637" customFormat="1" customHeight="1" ht="18.75" hidden="1">
      <c r="A264" s="1782"/>
      <c r="B264" s="1782"/>
      <c r="C264" s="371" t="s">
        <v>1148</v>
      </c>
      <c r="D264" s="2464"/>
      <c r="E264" s="2206"/>
      <c r="F264" s="2385"/>
      <c r="G264" s="2429"/>
      <c r="H264" s="1502"/>
      <c r="I264" s="653" t="s">
        <v>1147</v>
      </c>
      <c r="J264" s="573"/>
      <c r="K264" s="1502"/>
      <c r="L264" s="216"/>
      <c r="M264" s="343"/>
      <c r="N264" s="336"/>
      <c r="O264" s="1626"/>
      <c r="P264" s="1626"/>
      <c r="AH264" s="1633">
        <v>0</v>
      </c>
    </row>
    <row s="1637" customFormat="1" customHeight="1" ht="0.75" hidden="1">
      <c r="A265" s="1782"/>
      <c r="B265" s="1782"/>
      <c r="C265" s="371" t="s">
        <v>1155</v>
      </c>
      <c r="D265" s="2464"/>
      <c r="E265" s="2206"/>
      <c r="F265" s="2385"/>
      <c r="G265" s="402"/>
      <c r="H265" s="1502"/>
      <c r="I265" s="653"/>
      <c r="J265" s="573"/>
      <c r="K265" s="1502"/>
      <c r="L265" s="216"/>
      <c r="M265" s="343"/>
      <c r="N265" s="336"/>
      <c r="O265" s="1626"/>
      <c r="P265" s="1626"/>
      <c r="AH265" s="1633">
        <v>0</v>
      </c>
    </row>
    <row s="1637" customFormat="1" customHeight="1" ht="18.75" hidden="1">
      <c r="A266" s="1782" t="s">
        <v>275</v>
      </c>
      <c r="B266" s="1782" t="s">
        <v>276</v>
      </c>
      <c r="C266" s="371"/>
      <c r="D266" s="2464"/>
      <c r="E266" s="2206"/>
      <c r="F266" s="2385" t="str">
        <f>INDEX(PT_DIFFERENTIATION_VTAR,MATCH(A266,PT_DIFFERENTIATION_VTAR_ID,0))</f>
        <v>Тариф на подключение (технологическое присоединение) к централизованной системе водоотведения</v>
      </c>
      <c r="G266" s="2429" t="str">
        <f>INDEX(PT_DIFFERENTIATION_NTAR,MATCH(B266,PT_DIFFERENTIATION_NTAR_ID,0))</f>
        <v/>
      </c>
      <c r="H266" s="1864"/>
      <c r="I266" s="1741"/>
      <c r="J266" s="1775"/>
      <c r="K266" s="1780"/>
      <c r="L266" s="1864" t="s">
        <v>306</v>
      </c>
      <c r="M266" s="343"/>
      <c r="N266" s="336"/>
      <c r="O266" s="1626"/>
      <c r="P266" s="1626"/>
      <c r="AH266" s="1633">
        <v>0</v>
      </c>
    </row>
    <row s="1637" customFormat="1" customHeight="1" ht="18.75" hidden="1">
      <c r="A267" s="1782"/>
      <c r="B267" s="1782"/>
      <c r="C267" s="371" t="s">
        <v>1148</v>
      </c>
      <c r="D267" s="2464"/>
      <c r="E267" s="2206"/>
      <c r="F267" s="2385"/>
      <c r="G267" s="2429"/>
      <c r="H267" s="1502"/>
      <c r="I267" s="653" t="s">
        <v>1147</v>
      </c>
      <c r="J267" s="573"/>
      <c r="K267" s="1502"/>
      <c r="L267" s="216"/>
      <c r="M267" s="343"/>
      <c r="N267" s="336"/>
      <c r="O267" s="1626"/>
      <c r="P267" s="1626"/>
      <c r="AH267" s="1633">
        <v>0</v>
      </c>
    </row>
    <row s="1637" customFormat="1" customHeight="1" ht="1.05">
      <c r="A268" s="1782"/>
      <c r="B268" s="1782"/>
      <c r="C268" s="371" t="s">
        <v>1155</v>
      </c>
      <c r="D268" s="2464"/>
      <c r="E268" s="2206"/>
      <c r="F268" s="2385"/>
      <c r="G268" s="402"/>
      <c r="H268" s="1502"/>
      <c r="I268" s="653"/>
      <c r="J268" s="573"/>
      <c r="K268" s="1502"/>
      <c r="L268" s="216"/>
      <c r="M268" s="343"/>
      <c r="N268" s="336"/>
      <c r="O268" s="1626"/>
      <c r="P268" s="1626"/>
      <c r="AH268" s="1633">
        <v>1</v>
      </c>
    </row>
    <row customHeight="1" ht="27.299999999999997">
      <c r="A269" s="1782"/>
      <c r="B269" s="1782"/>
      <c r="D269" s="378"/>
      <c r="E269" s="149" t="s">
        <v>92</v>
      </c>
      <c r="F269" s="246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2"/>
      <c r="H269" s="2462"/>
      <c r="I269" s="2462"/>
      <c r="J269" s="2462"/>
      <c r="K269" s="2462"/>
      <c r="L269" s="2462"/>
      <c r="M269" s="299"/>
      <c r="N269" s="336"/>
      <c r="AH269" s="376">
        <v>26</v>
      </c>
    </row>
    <row s="1637" customFormat="1" customHeight="1" ht="60.75" hidden="1">
      <c r="A270" s="1782" t="s">
        <v>157</v>
      </c>
      <c r="B270" s="1782" t="s">
        <v>158</v>
      </c>
      <c r="C270" s="371"/>
      <c r="D270" s="2464"/>
      <c r="E270" s="2206"/>
      <c r="F270" s="238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9" t="str">
        <f>INDEX(PT_DIFFERENTIATION_NTAR,MATCH(B270,PT_DIFFERENTIATION_NTAR_ID,0))</f>
        <v/>
      </c>
      <c r="H270" s="1864"/>
      <c r="I270" s="1741"/>
      <c r="J270" s="1775"/>
      <c r="K270" s="1780"/>
      <c r="L270" s="1864" t="s">
        <v>306</v>
      </c>
      <c r="M270"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6"/>
      <c r="O270" s="1626"/>
      <c r="P270" s="1626"/>
      <c r="AH270" s="1633">
        <v>0</v>
      </c>
    </row>
    <row s="1637" customFormat="1" customHeight="1" ht="18.75" hidden="1">
      <c r="A271" s="1782"/>
      <c r="B271" s="1782"/>
      <c r="C271" s="371" t="s">
        <v>1148</v>
      </c>
      <c r="D271" s="2464"/>
      <c r="E271" s="2206"/>
      <c r="F271" s="2385"/>
      <c r="G271" s="2429"/>
      <c r="H271" s="1502"/>
      <c r="I271" s="653" t="s">
        <v>1147</v>
      </c>
      <c r="J271" s="573"/>
      <c r="K271" s="1502"/>
      <c r="L271" s="216"/>
      <c r="M271" s="2172"/>
      <c r="N271" s="336"/>
      <c r="O271" s="1626"/>
      <c r="P271" s="1626"/>
      <c r="AH271" s="1633">
        <v>0</v>
      </c>
    </row>
    <row s="1637" customFormat="1" customHeight="1" ht="0.75" hidden="1">
      <c r="A272" s="1782"/>
      <c r="B272" s="1782"/>
      <c r="C272" s="371" t="s">
        <v>1155</v>
      </c>
      <c r="D272" s="2464"/>
      <c r="E272" s="2206"/>
      <c r="F272" s="2385"/>
      <c r="G272" s="402"/>
      <c r="H272" s="1502"/>
      <c r="I272" s="653"/>
      <c r="J272" s="573"/>
      <c r="K272" s="1502"/>
      <c r="L272" s="216"/>
      <c r="M272" s="2172"/>
      <c r="N272" s="336"/>
      <c r="O272" s="1626"/>
      <c r="P272" s="1626"/>
      <c r="AH272" s="1633">
        <v>0</v>
      </c>
    </row>
    <row s="1637" customFormat="1" customHeight="1" ht="45" hidden="1">
      <c r="A273" s="1782" t="s">
        <v>162</v>
      </c>
      <c r="B273" s="1782" t="s">
        <v>163</v>
      </c>
      <c r="C273" s="371"/>
      <c r="D273" s="2464"/>
      <c r="E273" s="2206"/>
      <c r="F273" s="2385" t="str">
        <f>INDEX(PT_DIFFERENTIATION_VTAR,MATCH(A273,PT_DIFFERENTIATION_VTAR_ID,0))</f>
        <v/>
      </c>
      <c r="G273" s="2429" t="str">
        <f>INDEX(PT_DIFFERENTIATION_NTAR,MATCH(B273,PT_DIFFERENTIATION_NTAR_ID,0))</f>
        <v/>
      </c>
      <c r="H273" s="1864"/>
      <c r="I273" s="1741"/>
      <c r="J273" s="1775"/>
      <c r="K273" s="1780"/>
      <c r="L273" s="1864" t="s">
        <v>306</v>
      </c>
      <c r="M273" s="2173"/>
      <c r="N273" s="336"/>
      <c r="O273" s="1626"/>
      <c r="P273" s="1626"/>
      <c r="AH273" s="1633">
        <v>0</v>
      </c>
    </row>
    <row s="1637" customFormat="1" customHeight="1" ht="18.75" hidden="1">
      <c r="A274" s="1782"/>
      <c r="B274" s="1782"/>
      <c r="C274" s="371" t="s">
        <v>1148</v>
      </c>
      <c r="D274" s="2464"/>
      <c r="E274" s="2206"/>
      <c r="F274" s="2385"/>
      <c r="G274" s="2429"/>
      <c r="H274" s="1502"/>
      <c r="I274" s="653" t="s">
        <v>1147</v>
      </c>
      <c r="J274" s="573"/>
      <c r="K274" s="1502"/>
      <c r="L274" s="216"/>
      <c r="M274" s="1863"/>
      <c r="N274" s="336"/>
      <c r="O274" s="1626"/>
      <c r="P274" s="1626"/>
      <c r="AH274" s="1633">
        <v>0</v>
      </c>
    </row>
    <row s="1637" customFormat="1" customHeight="1" ht="0.75" hidden="1">
      <c r="A275" s="1782"/>
      <c r="B275" s="1782"/>
      <c r="C275" s="371" t="s">
        <v>1155</v>
      </c>
      <c r="D275" s="2464"/>
      <c r="E275" s="2206"/>
      <c r="F275" s="2385"/>
      <c r="G275" s="402"/>
      <c r="H275" s="1502"/>
      <c r="I275" s="653"/>
      <c r="J275" s="573"/>
      <c r="K275" s="1502"/>
      <c r="L275" s="216"/>
      <c r="M275" s="343"/>
      <c r="N275" s="336"/>
      <c r="O275" s="1626"/>
      <c r="P275" s="1626"/>
      <c r="AH275" s="1633">
        <v>0</v>
      </c>
    </row>
    <row s="1637" customFormat="1" customHeight="1" ht="45" hidden="1">
      <c r="A276" s="1782" t="s">
        <v>169</v>
      </c>
      <c r="B276" s="1782" t="s">
        <v>170</v>
      </c>
      <c r="C276" s="371"/>
      <c r="D276" s="2464"/>
      <c r="E276" s="2206"/>
      <c r="F276" s="238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9" t="str">
        <f>INDEX(PT_DIFFERENTIATION_NTAR,MATCH(B276,PT_DIFFERENTIATION_NTAR_ID,0))</f>
        <v/>
      </c>
      <c r="H276" s="1864"/>
      <c r="I276" s="1741"/>
      <c r="J276" s="1775"/>
      <c r="K276" s="1780"/>
      <c r="L276" s="1864" t="s">
        <v>306</v>
      </c>
      <c r="M276" s="343"/>
      <c r="N276" s="336"/>
      <c r="O276" s="1626"/>
      <c r="P276" s="1626"/>
      <c r="AH276" s="1633">
        <v>0</v>
      </c>
    </row>
    <row s="1637" customFormat="1" customHeight="1" ht="18.75" hidden="1">
      <c r="A277" s="1782"/>
      <c r="B277" s="1782"/>
      <c r="C277" s="371" t="s">
        <v>1148</v>
      </c>
      <c r="D277" s="2464"/>
      <c r="E277" s="2206"/>
      <c r="F277" s="2385"/>
      <c r="G277" s="2429"/>
      <c r="H277" s="1502"/>
      <c r="I277" s="653" t="s">
        <v>1147</v>
      </c>
      <c r="J277" s="573"/>
      <c r="K277" s="1502"/>
      <c r="L277" s="216"/>
      <c r="M277" s="343"/>
      <c r="N277" s="336"/>
      <c r="O277" s="1626"/>
      <c r="P277" s="1626"/>
      <c r="AH277" s="1633">
        <v>0</v>
      </c>
    </row>
    <row s="1637" customFormat="1" customHeight="1" ht="0.75" hidden="1">
      <c r="A278" s="1782"/>
      <c r="B278" s="1782"/>
      <c r="C278" s="371" t="s">
        <v>1155</v>
      </c>
      <c r="D278" s="2464"/>
      <c r="E278" s="2206"/>
      <c r="F278" s="2385"/>
      <c r="G278" s="402"/>
      <c r="H278" s="1502"/>
      <c r="I278" s="653"/>
      <c r="J278" s="573"/>
      <c r="K278" s="1502"/>
      <c r="L278" s="216"/>
      <c r="M278" s="343"/>
      <c r="N278" s="336"/>
      <c r="O278" s="1626"/>
      <c r="P278" s="1626"/>
      <c r="AH278" s="1633">
        <v>0</v>
      </c>
    </row>
    <row s="1637" customFormat="1" customHeight="1" ht="45" hidden="1">
      <c r="A279" s="1782" t="s">
        <v>175</v>
      </c>
      <c r="B279" s="1782" t="s">
        <v>176</v>
      </c>
      <c r="C279" s="371"/>
      <c r="D279" s="2464"/>
      <c r="E279" s="2206"/>
      <c r="F279" s="238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9" t="str">
        <f>INDEX(PT_DIFFERENTIATION_NTAR,MATCH(B279,PT_DIFFERENTIATION_NTAR_ID,0))</f>
        <v/>
      </c>
      <c r="H279" s="1864"/>
      <c r="I279" s="1741"/>
      <c r="J279" s="1775"/>
      <c r="K279" s="1780"/>
      <c r="L279" s="1864" t="s">
        <v>306</v>
      </c>
      <c r="M279" s="343"/>
      <c r="N279" s="336"/>
      <c r="O279" s="1626"/>
      <c r="P279" s="1626"/>
      <c r="AH279" s="1633">
        <v>0</v>
      </c>
    </row>
    <row s="1637" customFormat="1" customHeight="1" ht="18.75" hidden="1">
      <c r="A280" s="1782"/>
      <c r="B280" s="1782"/>
      <c r="C280" s="371" t="s">
        <v>1148</v>
      </c>
      <c r="D280" s="2464"/>
      <c r="E280" s="2206"/>
      <c r="F280" s="2385"/>
      <c r="G280" s="2429"/>
      <c r="H280" s="1502"/>
      <c r="I280" s="653" t="s">
        <v>1147</v>
      </c>
      <c r="J280" s="573"/>
      <c r="K280" s="1502"/>
      <c r="L280" s="216"/>
      <c r="M280" s="343"/>
      <c r="N280" s="336"/>
      <c r="O280" s="1626"/>
      <c r="P280" s="1626"/>
      <c r="AH280" s="1633">
        <v>0</v>
      </c>
    </row>
    <row s="1637" customFormat="1" customHeight="1" ht="0.75" hidden="1">
      <c r="A281" s="1782"/>
      <c r="B281" s="1782"/>
      <c r="C281" s="371" t="s">
        <v>1155</v>
      </c>
      <c r="D281" s="2464"/>
      <c r="E281" s="2206"/>
      <c r="F281" s="2385"/>
      <c r="G281" s="402"/>
      <c r="H281" s="1502"/>
      <c r="I281" s="653"/>
      <c r="J281" s="573"/>
      <c r="K281" s="1502"/>
      <c r="L281" s="216"/>
      <c r="M281" s="343"/>
      <c r="N281" s="336"/>
      <c r="O281" s="1626"/>
      <c r="P281" s="1626"/>
      <c r="AH281" s="1633">
        <v>0</v>
      </c>
    </row>
    <row s="1637" customFormat="1" customHeight="1" ht="18.75" hidden="1">
      <c r="A282" s="1782" t="s">
        <v>181</v>
      </c>
      <c r="B282" s="1782" t="s">
        <v>182</v>
      </c>
      <c r="C282" s="371"/>
      <c r="D282" s="2464"/>
      <c r="E282" s="2206"/>
      <c r="F282" s="2385" t="str">
        <f>INDEX(PT_DIFFERENTIATION_VTAR,MATCH(A282,PT_DIFFERENTIATION_VTAR_ID,0))</f>
        <v>Тарифы на услуги по передаче тепловой энергии</v>
      </c>
      <c r="G282" s="2429" t="str">
        <f>INDEX(PT_DIFFERENTIATION_NTAR,MATCH(B282,PT_DIFFERENTIATION_NTAR_ID,0))</f>
        <v/>
      </c>
      <c r="H282" s="1864"/>
      <c r="I282" s="1741"/>
      <c r="J282" s="1775"/>
      <c r="K282" s="1780"/>
      <c r="L282" s="1864" t="s">
        <v>306</v>
      </c>
      <c r="M282" s="343"/>
      <c r="N282" s="336"/>
      <c r="O282" s="1626"/>
      <c r="P282" s="1626"/>
      <c r="AH282" s="1633">
        <v>0</v>
      </c>
    </row>
    <row s="1637" customFormat="1" customHeight="1" ht="18.75" hidden="1">
      <c r="A283" s="1782"/>
      <c r="B283" s="1782"/>
      <c r="C283" s="371" t="s">
        <v>1148</v>
      </c>
      <c r="D283" s="2464"/>
      <c r="E283" s="2206"/>
      <c r="F283" s="2385"/>
      <c r="G283" s="2429"/>
      <c r="H283" s="1502"/>
      <c r="I283" s="653" t="s">
        <v>1147</v>
      </c>
      <c r="J283" s="573"/>
      <c r="K283" s="1502"/>
      <c r="L283" s="216"/>
      <c r="M283" s="343"/>
      <c r="N283" s="336"/>
      <c r="O283" s="1626"/>
      <c r="P283" s="1626"/>
      <c r="AH283" s="1633">
        <v>0</v>
      </c>
    </row>
    <row s="1637" customFormat="1" customHeight="1" ht="0.75" hidden="1">
      <c r="A284" s="1782"/>
      <c r="B284" s="1782"/>
      <c r="C284" s="371" t="s">
        <v>1155</v>
      </c>
      <c r="D284" s="2464"/>
      <c r="E284" s="2206"/>
      <c r="F284" s="2385"/>
      <c r="G284" s="402"/>
      <c r="H284" s="1502"/>
      <c r="I284" s="653"/>
      <c r="J284" s="573"/>
      <c r="K284" s="1502"/>
      <c r="L284" s="216"/>
      <c r="M284" s="343"/>
      <c r="N284" s="336"/>
      <c r="O284" s="1626"/>
      <c r="P284" s="1626"/>
      <c r="AH284" s="1633">
        <v>0</v>
      </c>
    </row>
    <row s="1637" customFormat="1" customHeight="1" ht="18.75" hidden="1">
      <c r="A285" s="1782" t="s">
        <v>187</v>
      </c>
      <c r="B285" s="1782" t="s">
        <v>188</v>
      </c>
      <c r="C285" s="371"/>
      <c r="D285" s="2464"/>
      <c r="E285" s="2206"/>
      <c r="F285" s="2385" t="str">
        <f>INDEX(PT_DIFFERENTIATION_VTAR,MATCH(A285,PT_DIFFERENTIATION_VTAR_ID,0))</f>
        <v>Тарифы на услуги по передаче теплоносителя</v>
      </c>
      <c r="G285" s="2429" t="str">
        <f>INDEX(PT_DIFFERENTIATION_NTAR,MATCH(B285,PT_DIFFERENTIATION_NTAR_ID,0))</f>
        <v/>
      </c>
      <c r="H285" s="1864"/>
      <c r="I285" s="1741"/>
      <c r="J285" s="1775"/>
      <c r="K285" s="1780"/>
      <c r="L285" s="1864" t="s">
        <v>306</v>
      </c>
      <c r="M285" s="343"/>
      <c r="N285" s="336"/>
      <c r="O285" s="1626"/>
      <c r="P285" s="1626"/>
      <c r="AH285" s="1633">
        <v>0</v>
      </c>
    </row>
    <row s="1637" customFormat="1" customHeight="1" ht="18.75" hidden="1">
      <c r="A286" s="1782"/>
      <c r="B286" s="1782"/>
      <c r="C286" s="371" t="s">
        <v>1148</v>
      </c>
      <c r="D286" s="2464"/>
      <c r="E286" s="2206"/>
      <c r="F286" s="2385"/>
      <c r="G286" s="2429"/>
      <c r="H286" s="1502"/>
      <c r="I286" s="653" t="s">
        <v>1147</v>
      </c>
      <c r="J286" s="573"/>
      <c r="K286" s="1502"/>
      <c r="L286" s="216"/>
      <c r="M286" s="343"/>
      <c r="N286" s="336"/>
      <c r="O286" s="1626"/>
      <c r="P286" s="1626"/>
      <c r="AH286" s="1633">
        <v>0</v>
      </c>
    </row>
    <row s="1637" customFormat="1" customHeight="1" ht="0.75" hidden="1">
      <c r="A287" s="1782"/>
      <c r="B287" s="1782"/>
      <c r="C287" s="371" t="s">
        <v>1155</v>
      </c>
      <c r="D287" s="2464"/>
      <c r="E287" s="2206"/>
      <c r="F287" s="2385"/>
      <c r="G287" s="402"/>
      <c r="H287" s="1502"/>
      <c r="I287" s="653"/>
      <c r="J287" s="573"/>
      <c r="K287" s="1502"/>
      <c r="L287" s="216"/>
      <c r="M287" s="343"/>
      <c r="N287" s="336"/>
      <c r="O287" s="1626"/>
      <c r="P287" s="1626"/>
      <c r="AH287" s="1633">
        <v>0</v>
      </c>
    </row>
    <row s="1637" customFormat="1" customHeight="1" ht="18.75" hidden="1">
      <c r="A288" s="1782" t="s">
        <v>193</v>
      </c>
      <c r="B288" s="1782" t="s">
        <v>194</v>
      </c>
      <c r="C288" s="371"/>
      <c r="D288" s="2464"/>
      <c r="E288" s="2206"/>
      <c r="F288" s="238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9" t="str">
        <f>INDEX(PT_DIFFERENTIATION_NTAR,MATCH(B288,PT_DIFFERENTIATION_NTAR_ID,0))</f>
        <v/>
      </c>
      <c r="H288" s="1864"/>
      <c r="I288" s="1741"/>
      <c r="J288" s="1775"/>
      <c r="K288" s="1780"/>
      <c r="L288" s="1864" t="s">
        <v>306</v>
      </c>
      <c r="M288" s="343"/>
      <c r="N288" s="336"/>
      <c r="O288" s="1626"/>
      <c r="P288" s="1626"/>
      <c r="AH288" s="1633">
        <v>0</v>
      </c>
    </row>
    <row s="1637" customFormat="1" customHeight="1" ht="18.75" hidden="1">
      <c r="A289" s="1782"/>
      <c r="B289" s="1782"/>
      <c r="C289" s="371" t="s">
        <v>1148</v>
      </c>
      <c r="D289" s="2464"/>
      <c r="E289" s="2206"/>
      <c r="F289" s="2385"/>
      <c r="G289" s="2429"/>
      <c r="H289" s="1502"/>
      <c r="I289" s="653" t="s">
        <v>1147</v>
      </c>
      <c r="J289" s="573"/>
      <c r="K289" s="1502"/>
      <c r="L289" s="216"/>
      <c r="M289" s="343"/>
      <c r="N289" s="336"/>
      <c r="O289" s="1626"/>
      <c r="P289" s="1626"/>
      <c r="AH289" s="1633">
        <v>0</v>
      </c>
    </row>
    <row s="1637" customFormat="1" customHeight="1" ht="0.75" hidden="1">
      <c r="A290" s="1782"/>
      <c r="B290" s="1782"/>
      <c r="C290" s="371" t="s">
        <v>1155</v>
      </c>
      <c r="D290" s="2464"/>
      <c r="E290" s="2206"/>
      <c r="F290" s="2385"/>
      <c r="G290" s="402"/>
      <c r="H290" s="1502"/>
      <c r="I290" s="653"/>
      <c r="J290" s="573"/>
      <c r="K290" s="1502"/>
      <c r="L290" s="216"/>
      <c r="M290" s="343"/>
      <c r="N290" s="336"/>
      <c r="O290" s="1626"/>
      <c r="P290" s="1626"/>
      <c r="AH290" s="1633">
        <v>0</v>
      </c>
    </row>
    <row s="1637" customFormat="1" customHeight="1" ht="18.75" hidden="1">
      <c r="A291" s="1782" t="s">
        <v>199</v>
      </c>
      <c r="B291" s="1782" t="s">
        <v>200</v>
      </c>
      <c r="C291" s="371"/>
      <c r="D291" s="2464"/>
      <c r="E291" s="2206"/>
      <c r="F291" s="2385" t="str">
        <f>INDEX(PT_DIFFERENTIATION_VTAR,MATCH(A291,PT_DIFFERENTIATION_VTAR_ID,0))</f>
        <v>Плата за подключение (технологическое присоединение) к системе теплоснабжения</v>
      </c>
      <c r="G291" s="2429" t="str">
        <f>INDEX(PT_DIFFERENTIATION_NTAR,MATCH(B291,PT_DIFFERENTIATION_NTAR_ID,0))</f>
        <v/>
      </c>
      <c r="H291" s="1864"/>
      <c r="I291" s="1741"/>
      <c r="J291" s="1775"/>
      <c r="K291" s="1780"/>
      <c r="L291" s="1864" t="s">
        <v>306</v>
      </c>
      <c r="M291" s="343"/>
      <c r="N291" s="336"/>
      <c r="O291" s="1626"/>
      <c r="P291" s="1626"/>
      <c r="AH291" s="1633">
        <v>0</v>
      </c>
    </row>
    <row s="1637" customFormat="1" customHeight="1" ht="18.75" hidden="1">
      <c r="A292" s="1782"/>
      <c r="B292" s="1782"/>
      <c r="C292" s="371" t="s">
        <v>1148</v>
      </c>
      <c r="D292" s="2464"/>
      <c r="E292" s="2206"/>
      <c r="F292" s="2385"/>
      <c r="G292" s="2429"/>
      <c r="H292" s="1502"/>
      <c r="I292" s="653" t="s">
        <v>1147</v>
      </c>
      <c r="J292" s="573"/>
      <c r="K292" s="1502"/>
      <c r="L292" s="216"/>
      <c r="M292" s="343"/>
      <c r="N292" s="336"/>
      <c r="O292" s="1626"/>
      <c r="P292" s="1626"/>
      <c r="AH292" s="1633">
        <v>0</v>
      </c>
    </row>
    <row s="1637" customFormat="1" customHeight="1" ht="0.75" hidden="1">
      <c r="A293" s="1782"/>
      <c r="B293" s="1782"/>
      <c r="C293" s="371" t="s">
        <v>1155</v>
      </c>
      <c r="D293" s="2464"/>
      <c r="E293" s="2206"/>
      <c r="F293" s="2385"/>
      <c r="G293" s="402"/>
      <c r="H293" s="1502"/>
      <c r="I293" s="653"/>
      <c r="J293" s="573"/>
      <c r="K293" s="1502"/>
      <c r="L293" s="216"/>
      <c r="M293" s="343"/>
      <c r="N293" s="336"/>
      <c r="O293" s="1626"/>
      <c r="P293" s="1626"/>
      <c r="AH293" s="1633">
        <v>0</v>
      </c>
    </row>
    <row s="1637" customFormat="1" customHeight="1" ht="18.75" hidden="1">
      <c r="A294" s="1782" t="s">
        <v>205</v>
      </c>
      <c r="B294" s="1782" t="s">
        <v>206</v>
      </c>
      <c r="C294" s="371"/>
      <c r="D294" s="2464"/>
      <c r="E294" s="2206"/>
      <c r="F294" s="2385" t="str">
        <f>INDEX(PT_DIFFERENTIATION_VTAR,MATCH(A294,PT_DIFFERENTIATION_VTAR_ID,0))</f>
        <v>Плата за подключение (технологическое присоединение) к системе теплоснабжения (индивидуальная)</v>
      </c>
      <c r="G294" s="2429" t="str">
        <f>INDEX(PT_DIFFERENTIATION_NTAR,MATCH(B294,PT_DIFFERENTIATION_NTAR_ID,0))</f>
        <v/>
      </c>
      <c r="H294" s="1991"/>
      <c r="I294" s="1741"/>
      <c r="J294" s="1775"/>
      <c r="K294" s="1780"/>
      <c r="L294" s="1991" t="s">
        <v>306</v>
      </c>
      <c r="M294" s="343"/>
      <c r="N294" s="336"/>
      <c r="O294" s="1626"/>
      <c r="P294" s="1626"/>
      <c r="AH294" s="1633">
        <v>0</v>
      </c>
    </row>
    <row s="1637" customFormat="1" customHeight="1" ht="18.75" hidden="1">
      <c r="A295" s="1782"/>
      <c r="B295" s="1782"/>
      <c r="C295" s="371" t="s">
        <v>1148</v>
      </c>
      <c r="D295" s="2464"/>
      <c r="E295" s="2206"/>
      <c r="F295" s="2385"/>
      <c r="G295" s="2429"/>
      <c r="H295" s="1502"/>
      <c r="I295" s="653" t="s">
        <v>1147</v>
      </c>
      <c r="J295" s="573"/>
      <c r="K295" s="1502"/>
      <c r="L295" s="216"/>
      <c r="M295" s="343"/>
      <c r="N295" s="336"/>
      <c r="O295" s="1626"/>
      <c r="P295" s="1626"/>
      <c r="AH295" s="1633">
        <v>0</v>
      </c>
    </row>
    <row s="1637" customFormat="1" customHeight="1" ht="0.75" hidden="1">
      <c r="A296" s="1782"/>
      <c r="B296" s="1782"/>
      <c r="C296" s="371" t="s">
        <v>1155</v>
      </c>
      <c r="D296" s="2464"/>
      <c r="E296" s="2206"/>
      <c r="F296" s="2385"/>
      <c r="G296" s="402"/>
      <c r="H296" s="1502"/>
      <c r="I296" s="653"/>
      <c r="J296" s="573"/>
      <c r="K296" s="1502"/>
      <c r="L296" s="216"/>
      <c r="M296" s="343"/>
      <c r="N296" s="336"/>
      <c r="O296" s="1626"/>
      <c r="P296" s="1626"/>
      <c r="AH296" s="1633">
        <v>0</v>
      </c>
    </row>
    <row s="1637" customFormat="1" customHeight="1" ht="18.75" hidden="1">
      <c r="A297" s="1782" t="s">
        <v>225</v>
      </c>
      <c r="B297" s="1782" t="s">
        <v>226</v>
      </c>
      <c r="C297" s="371"/>
      <c r="D297" s="2464"/>
      <c r="E297" s="2206"/>
      <c r="F297" s="2385" t="str">
        <f>INDEX(PT_DIFFERENTIATION_VTAR,MATCH(A297,PT_DIFFERENTIATION_VTAR_ID,0))</f>
        <v>Тариф на питьевую воду (питьевое водоснабжение)</v>
      </c>
      <c r="G297" s="2429" t="str">
        <f>INDEX(PT_DIFFERENTIATION_NTAR,MATCH(B297,PT_DIFFERENTIATION_NTAR_ID,0))</f>
        <v/>
      </c>
      <c r="H297" s="1864"/>
      <c r="I297" s="1741"/>
      <c r="J297" s="1775"/>
      <c r="K297" s="1780"/>
      <c r="L297" s="1864" t="s">
        <v>306</v>
      </c>
      <c r="M297" s="343"/>
      <c r="N297" s="336"/>
      <c r="O297" s="1626"/>
      <c r="P297" s="1626"/>
      <c r="AH297" s="1633">
        <v>0</v>
      </c>
    </row>
    <row s="1637" customFormat="1" customHeight="1" ht="18.75" hidden="1">
      <c r="A298" s="1782"/>
      <c r="B298" s="1782"/>
      <c r="C298" s="371" t="s">
        <v>1148</v>
      </c>
      <c r="D298" s="2464"/>
      <c r="E298" s="2206"/>
      <c r="F298" s="2385"/>
      <c r="G298" s="2429"/>
      <c r="H298" s="1502"/>
      <c r="I298" s="653" t="s">
        <v>1147</v>
      </c>
      <c r="J298" s="573"/>
      <c r="K298" s="1502"/>
      <c r="L298" s="216"/>
      <c r="M298" s="343"/>
      <c r="N298" s="336"/>
      <c r="O298" s="1626"/>
      <c r="P298" s="1626"/>
      <c r="AH298" s="1633">
        <v>0</v>
      </c>
    </row>
    <row s="1637" customFormat="1" customHeight="1" ht="0.75" hidden="1">
      <c r="A299" s="1782"/>
      <c r="B299" s="1782"/>
      <c r="C299" s="371" t="s">
        <v>1155</v>
      </c>
      <c r="D299" s="2464"/>
      <c r="E299" s="2206"/>
      <c r="F299" s="2385"/>
      <c r="G299" s="402"/>
      <c r="H299" s="1502"/>
      <c r="I299" s="653"/>
      <c r="J299" s="573"/>
      <c r="K299" s="1502"/>
      <c r="L299" s="216"/>
      <c r="M299" s="343"/>
      <c r="N299" s="336"/>
      <c r="O299" s="1626"/>
      <c r="P299" s="1626"/>
      <c r="AH299" s="1633">
        <v>0</v>
      </c>
    </row>
    <row s="1637" customFormat="1" customHeight="1" ht="18.75" hidden="1">
      <c r="A300" s="1782" t="s">
        <v>230</v>
      </c>
      <c r="B300" s="1782" t="s">
        <v>231</v>
      </c>
      <c r="C300" s="371"/>
      <c r="D300" s="2464"/>
      <c r="E300" s="2206"/>
      <c r="F300" s="2385" t="str">
        <f>INDEX(PT_DIFFERENTIATION_VTAR,MATCH(A300,PT_DIFFERENTIATION_VTAR_ID,0))</f>
        <v>Тариф на техническую воду</v>
      </c>
      <c r="G300" s="2429" t="str">
        <f>INDEX(PT_DIFFERENTIATION_NTAR,MATCH(B300,PT_DIFFERENTIATION_NTAR_ID,0))</f>
        <v/>
      </c>
      <c r="H300" s="1864"/>
      <c r="I300" s="1741"/>
      <c r="J300" s="1775"/>
      <c r="K300" s="1780"/>
      <c r="L300" s="1864" t="s">
        <v>306</v>
      </c>
      <c r="M300" s="343"/>
      <c r="N300" s="336"/>
      <c r="O300" s="1626"/>
      <c r="P300" s="1626"/>
      <c r="AH300" s="1633">
        <v>0</v>
      </c>
    </row>
    <row s="1637" customFormat="1" customHeight="1" ht="18.75" hidden="1">
      <c r="A301" s="1782"/>
      <c r="B301" s="1782"/>
      <c r="C301" s="371" t="s">
        <v>1148</v>
      </c>
      <c r="D301" s="2464"/>
      <c r="E301" s="2206"/>
      <c r="F301" s="2385"/>
      <c r="G301" s="2429"/>
      <c r="H301" s="1502"/>
      <c r="I301" s="653" t="s">
        <v>1147</v>
      </c>
      <c r="J301" s="573"/>
      <c r="K301" s="1502"/>
      <c r="L301" s="216"/>
      <c r="M301" s="343"/>
      <c r="N301" s="336"/>
      <c r="O301" s="1626"/>
      <c r="P301" s="1626"/>
      <c r="AH301" s="1633">
        <v>0</v>
      </c>
    </row>
    <row s="1637" customFormat="1" customHeight="1" ht="0.75" hidden="1">
      <c r="A302" s="1782"/>
      <c r="B302" s="1782"/>
      <c r="C302" s="371" t="s">
        <v>1155</v>
      </c>
      <c r="D302" s="2464"/>
      <c r="E302" s="2206"/>
      <c r="F302" s="2385"/>
      <c r="G302" s="402"/>
      <c r="H302" s="1502"/>
      <c r="I302" s="653"/>
      <c r="J302" s="573"/>
      <c r="K302" s="1502"/>
      <c r="L302" s="216"/>
      <c r="M302" s="343"/>
      <c r="N302" s="336"/>
      <c r="O302" s="1626"/>
      <c r="P302" s="1626"/>
      <c r="AH302" s="1633">
        <v>0</v>
      </c>
    </row>
    <row s="1637" customFormat="1" customHeight="1" ht="18.75" hidden="1">
      <c r="A303" s="1782" t="s">
        <v>235</v>
      </c>
      <c r="B303" s="1782" t="s">
        <v>236</v>
      </c>
      <c r="C303" s="371"/>
      <c r="D303" s="2464"/>
      <c r="E303" s="2206"/>
      <c r="F303" s="2385" t="str">
        <f>INDEX(PT_DIFFERENTIATION_VTAR,MATCH(A303,PT_DIFFERENTIATION_VTAR_ID,0))</f>
        <v>Тариф на транспортировку воды</v>
      </c>
      <c r="G303" s="2429" t="str">
        <f>INDEX(PT_DIFFERENTIATION_NTAR,MATCH(B303,PT_DIFFERENTIATION_NTAR_ID,0))</f>
        <v/>
      </c>
      <c r="H303" s="1864"/>
      <c r="I303" s="1741"/>
      <c r="J303" s="1775"/>
      <c r="K303" s="1780"/>
      <c r="L303" s="1864" t="s">
        <v>306</v>
      </c>
      <c r="M303" s="343"/>
      <c r="N303" s="336"/>
      <c r="O303" s="1626"/>
      <c r="P303" s="1626"/>
      <c r="AH303" s="1633">
        <v>0</v>
      </c>
    </row>
    <row s="1637" customFormat="1" customHeight="1" ht="18.75" hidden="1">
      <c r="A304" s="1782"/>
      <c r="B304" s="1782"/>
      <c r="C304" s="371" t="s">
        <v>1148</v>
      </c>
      <c r="D304" s="2464"/>
      <c r="E304" s="2206"/>
      <c r="F304" s="2385"/>
      <c r="G304" s="2429"/>
      <c r="H304" s="1502"/>
      <c r="I304" s="653" t="s">
        <v>1147</v>
      </c>
      <c r="J304" s="573"/>
      <c r="K304" s="1502"/>
      <c r="L304" s="216"/>
      <c r="M304" s="343"/>
      <c r="N304" s="336"/>
      <c r="O304" s="1626"/>
      <c r="P304" s="1626"/>
      <c r="AH304" s="1633">
        <v>0</v>
      </c>
    </row>
    <row s="1637" customFormat="1" customHeight="1" ht="0.75" hidden="1">
      <c r="A305" s="1782"/>
      <c r="B305" s="1782"/>
      <c r="C305" s="371" t="s">
        <v>1155</v>
      </c>
      <c r="D305" s="2464"/>
      <c r="E305" s="2206"/>
      <c r="F305" s="2385"/>
      <c r="G305" s="402"/>
      <c r="H305" s="1502"/>
      <c r="I305" s="653"/>
      <c r="J305" s="573"/>
      <c r="K305" s="1502"/>
      <c r="L305" s="216"/>
      <c r="M305" s="343"/>
      <c r="N305" s="336"/>
      <c r="O305" s="1626"/>
      <c r="P305" s="1626"/>
      <c r="AH305" s="1633">
        <v>0</v>
      </c>
    </row>
    <row s="1637" customFormat="1" customHeight="1" ht="18.75" hidden="1">
      <c r="A306" s="1782" t="s">
        <v>240</v>
      </c>
      <c r="B306" s="1782" t="s">
        <v>241</v>
      </c>
      <c r="C306" s="371"/>
      <c r="D306" s="2464"/>
      <c r="E306" s="2206"/>
      <c r="F306" s="2385" t="str">
        <f>INDEX(PT_DIFFERENTIATION_VTAR,MATCH(A306,PT_DIFFERENTIATION_VTAR_ID,0))</f>
        <v>Тариф на подвоз воды</v>
      </c>
      <c r="G306" s="2429" t="str">
        <f>INDEX(PT_DIFFERENTIATION_NTAR,MATCH(B306,PT_DIFFERENTIATION_NTAR_ID,0))</f>
        <v/>
      </c>
      <c r="H306" s="1864"/>
      <c r="I306" s="1741"/>
      <c r="J306" s="1775"/>
      <c r="K306" s="1780"/>
      <c r="L306" s="1864" t="s">
        <v>306</v>
      </c>
      <c r="M306" s="343"/>
      <c r="N306" s="336"/>
      <c r="O306" s="1626"/>
      <c r="P306" s="1626"/>
      <c r="AH306" s="1633">
        <v>0</v>
      </c>
    </row>
    <row s="1637" customFormat="1" customHeight="1" ht="18.75" hidden="1">
      <c r="A307" s="1782"/>
      <c r="B307" s="1782"/>
      <c r="C307" s="371" t="s">
        <v>1148</v>
      </c>
      <c r="D307" s="2464"/>
      <c r="E307" s="2206"/>
      <c r="F307" s="2385"/>
      <c r="G307" s="2429"/>
      <c r="H307" s="1502"/>
      <c r="I307" s="653" t="s">
        <v>1147</v>
      </c>
      <c r="J307" s="573"/>
      <c r="K307" s="1502"/>
      <c r="L307" s="216"/>
      <c r="M307" s="343"/>
      <c r="N307" s="336"/>
      <c r="O307" s="1626"/>
      <c r="P307" s="1626"/>
      <c r="AH307" s="1633">
        <v>0</v>
      </c>
    </row>
    <row s="1637" customFormat="1" customHeight="1" ht="0.75" hidden="1">
      <c r="A308" s="1782"/>
      <c r="B308" s="1782"/>
      <c r="C308" s="371" t="s">
        <v>1155</v>
      </c>
      <c r="D308" s="2464"/>
      <c r="E308" s="2206"/>
      <c r="F308" s="2385"/>
      <c r="G308" s="402"/>
      <c r="H308" s="1502"/>
      <c r="I308" s="653"/>
      <c r="J308" s="573"/>
      <c r="K308" s="1502"/>
      <c r="L308" s="216"/>
      <c r="M308" s="343"/>
      <c r="N308" s="336"/>
      <c r="O308" s="1626"/>
      <c r="P308" s="1626"/>
      <c r="AH308" s="1633">
        <v>0</v>
      </c>
    </row>
    <row s="1637" customFormat="1" customHeight="1" ht="18.75" hidden="1">
      <c r="A309" s="1782" t="s">
        <v>245</v>
      </c>
      <c r="B309" s="1782" t="s">
        <v>246</v>
      </c>
      <c r="C309" s="371"/>
      <c r="D309" s="2464"/>
      <c r="E309" s="2206"/>
      <c r="F309" s="238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9" t="str">
        <f>INDEX(PT_DIFFERENTIATION_NTAR,MATCH(B309,PT_DIFFERENTIATION_NTAR_ID,0))</f>
        <v/>
      </c>
      <c r="H309" s="1864"/>
      <c r="I309" s="1741"/>
      <c r="J309" s="1775"/>
      <c r="K309" s="1780"/>
      <c r="L309" s="1864" t="s">
        <v>306</v>
      </c>
      <c r="M309" s="343"/>
      <c r="N309" s="336"/>
      <c r="O309" s="1626"/>
      <c r="P309" s="1626"/>
      <c r="AH309" s="1633">
        <v>0</v>
      </c>
    </row>
    <row s="1637" customFormat="1" customHeight="1" ht="18.75" hidden="1">
      <c r="A310" s="1782"/>
      <c r="B310" s="1782"/>
      <c r="C310" s="371" t="s">
        <v>1148</v>
      </c>
      <c r="D310" s="2464"/>
      <c r="E310" s="2206"/>
      <c r="F310" s="2385"/>
      <c r="G310" s="2429"/>
      <c r="H310" s="1502"/>
      <c r="I310" s="653" t="s">
        <v>1147</v>
      </c>
      <c r="J310" s="573"/>
      <c r="K310" s="1502"/>
      <c r="L310" s="216"/>
      <c r="M310" s="343"/>
      <c r="N310" s="336"/>
      <c r="O310" s="1626"/>
      <c r="P310" s="1626"/>
      <c r="AH310" s="1633">
        <v>0</v>
      </c>
    </row>
    <row s="1637" customFormat="1" customHeight="1" ht="0.75" hidden="1">
      <c r="A311" s="1782"/>
      <c r="B311" s="1782"/>
      <c r="C311" s="371" t="s">
        <v>1155</v>
      </c>
      <c r="D311" s="2464"/>
      <c r="E311" s="2206"/>
      <c r="F311" s="2385"/>
      <c r="G311" s="402"/>
      <c r="H311" s="1502"/>
      <c r="I311" s="653"/>
      <c r="J311" s="573"/>
      <c r="K311" s="1502"/>
      <c r="L311" s="216"/>
      <c r="M311" s="343"/>
      <c r="N311" s="336"/>
      <c r="O311" s="1626"/>
      <c r="P311" s="1626"/>
      <c r="AH311" s="1633">
        <v>0</v>
      </c>
    </row>
    <row s="1637" customFormat="1" customHeight="1" ht="18.75" hidden="1">
      <c r="A312" s="1782" t="s">
        <v>250</v>
      </c>
      <c r="B312" s="1782" t="s">
        <v>251</v>
      </c>
      <c r="C312" s="371"/>
      <c r="D312" s="2464"/>
      <c r="E312" s="2206"/>
      <c r="F312" s="2385" t="str">
        <f>INDEX(PT_DIFFERENTIATION_VTAR,MATCH(A312,PT_DIFFERENTIATION_VTAR_ID,0))</f>
        <v>Тариф на горячую воду (горячее водоснабжение)</v>
      </c>
      <c r="G312" s="2429" t="str">
        <f>INDEX(PT_DIFFERENTIATION_NTAR,MATCH(B312,PT_DIFFERENTIATION_NTAR_ID,0))</f>
        <v/>
      </c>
      <c r="H312" s="1864"/>
      <c r="I312" s="1741"/>
      <c r="J312" s="1775"/>
      <c r="K312" s="1780"/>
      <c r="L312" s="1864" t="s">
        <v>306</v>
      </c>
      <c r="M312" s="343"/>
      <c r="N312" s="336"/>
      <c r="O312" s="1626"/>
      <c r="P312" s="1626"/>
      <c r="AH312" s="1633">
        <v>0</v>
      </c>
    </row>
    <row s="1637" customFormat="1" customHeight="1" ht="18.75" hidden="1">
      <c r="A313" s="1782"/>
      <c r="B313" s="1782"/>
      <c r="C313" s="371" t="s">
        <v>1148</v>
      </c>
      <c r="D313" s="2464"/>
      <c r="E313" s="2206"/>
      <c r="F313" s="2385"/>
      <c r="G313" s="2429"/>
      <c r="H313" s="1502"/>
      <c r="I313" s="653" t="s">
        <v>1147</v>
      </c>
      <c r="J313" s="573"/>
      <c r="K313" s="1502"/>
      <c r="L313" s="216"/>
      <c r="M313" s="343"/>
      <c r="N313" s="336"/>
      <c r="O313" s="1626"/>
      <c r="P313" s="1626"/>
      <c r="AH313" s="1633">
        <v>0</v>
      </c>
    </row>
    <row s="1637" customFormat="1" customHeight="1" ht="0.75" hidden="1">
      <c r="A314" s="1782"/>
      <c r="B314" s="1782"/>
      <c r="C314" s="371" t="s">
        <v>1155</v>
      </c>
      <c r="D314" s="2464"/>
      <c r="E314" s="2206"/>
      <c r="F314" s="2385"/>
      <c r="G314" s="402"/>
      <c r="H314" s="1502"/>
      <c r="I314" s="653"/>
      <c r="J314" s="573"/>
      <c r="K314" s="1502"/>
      <c r="L314" s="216"/>
      <c r="M314" s="343"/>
      <c r="N314" s="336"/>
      <c r="O314" s="1626"/>
      <c r="P314" s="1626"/>
      <c r="AH314" s="1633">
        <v>0</v>
      </c>
    </row>
    <row s="1637" customFormat="1" customHeight="1" ht="18.75" hidden="1">
      <c r="A315" s="1782" t="s">
        <v>255</v>
      </c>
      <c r="B315" s="1782" t="s">
        <v>256</v>
      </c>
      <c r="C315" s="371"/>
      <c r="D315" s="2464"/>
      <c r="E315" s="2206"/>
      <c r="F315" s="2385" t="str">
        <f>INDEX(PT_DIFFERENTIATION_VTAR,MATCH(A315,PT_DIFFERENTIATION_VTAR_ID,0))</f>
        <v>Тариф на транспортировку горячей воды</v>
      </c>
      <c r="G315" s="2429" t="str">
        <f>INDEX(PT_DIFFERENTIATION_NTAR,MATCH(B315,PT_DIFFERENTIATION_NTAR_ID,0))</f>
        <v/>
      </c>
      <c r="H315" s="1864"/>
      <c r="I315" s="1741"/>
      <c r="J315" s="1775"/>
      <c r="K315" s="1780"/>
      <c r="L315" s="1864" t="s">
        <v>306</v>
      </c>
      <c r="M315" s="343"/>
      <c r="N315" s="336"/>
      <c r="O315" s="1626"/>
      <c r="P315" s="1626"/>
      <c r="AH315" s="1633">
        <v>0</v>
      </c>
    </row>
    <row s="1637" customFormat="1" customHeight="1" ht="18.75" hidden="1">
      <c r="A316" s="1782"/>
      <c r="B316" s="1782"/>
      <c r="C316" s="371" t="s">
        <v>1148</v>
      </c>
      <c r="D316" s="2464"/>
      <c r="E316" s="2206"/>
      <c r="F316" s="2385"/>
      <c r="G316" s="2429"/>
      <c r="H316" s="1502"/>
      <c r="I316" s="653" t="s">
        <v>1147</v>
      </c>
      <c r="J316" s="573"/>
      <c r="K316" s="1502"/>
      <c r="L316" s="216"/>
      <c r="M316" s="343"/>
      <c r="N316" s="336"/>
      <c r="O316" s="1626"/>
      <c r="P316" s="1626"/>
      <c r="AH316" s="1633">
        <v>0</v>
      </c>
    </row>
    <row s="1637" customFormat="1" customHeight="1" ht="0.75" hidden="1">
      <c r="A317" s="1782"/>
      <c r="B317" s="1782"/>
      <c r="C317" s="371" t="s">
        <v>1155</v>
      </c>
      <c r="D317" s="2464"/>
      <c r="E317" s="2206"/>
      <c r="F317" s="2385"/>
      <c r="G317" s="402"/>
      <c r="H317" s="1502"/>
      <c r="I317" s="653"/>
      <c r="J317" s="573"/>
      <c r="K317" s="1502"/>
      <c r="L317" s="216"/>
      <c r="M317" s="343"/>
      <c r="N317" s="336"/>
      <c r="O317" s="1626"/>
      <c r="P317" s="1626"/>
      <c r="AH317" s="1633">
        <v>0</v>
      </c>
    </row>
    <row s="1637" customFormat="1" customHeight="1" ht="18.75" hidden="1">
      <c r="A318" s="1782" t="s">
        <v>260</v>
      </c>
      <c r="B318" s="1782" t="s">
        <v>261</v>
      </c>
      <c r="C318" s="371"/>
      <c r="D318" s="2464"/>
      <c r="E318" s="2206"/>
      <c r="F318" s="238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9" t="str">
        <f>INDEX(PT_DIFFERENTIATION_NTAR,MATCH(B318,PT_DIFFERENTIATION_NTAR_ID,0))</f>
        <v/>
      </c>
      <c r="H318" s="1864"/>
      <c r="I318" s="1741"/>
      <c r="J318" s="1775"/>
      <c r="K318" s="1780"/>
      <c r="L318" s="1864" t="s">
        <v>306</v>
      </c>
      <c r="M318" s="343"/>
      <c r="N318" s="336"/>
      <c r="O318" s="1626"/>
      <c r="P318" s="1626"/>
      <c r="AH318" s="1633">
        <v>0</v>
      </c>
    </row>
    <row s="1637" customFormat="1" customHeight="1" ht="18.75" hidden="1">
      <c r="A319" s="1782"/>
      <c r="B319" s="1782"/>
      <c r="C319" s="371" t="s">
        <v>1148</v>
      </c>
      <c r="D319" s="2464"/>
      <c r="E319" s="2206"/>
      <c r="F319" s="2385"/>
      <c r="G319" s="2429"/>
      <c r="H319" s="1502"/>
      <c r="I319" s="653" t="s">
        <v>1147</v>
      </c>
      <c r="J319" s="573"/>
      <c r="K319" s="1502"/>
      <c r="L319" s="216"/>
      <c r="M319" s="343"/>
      <c r="N319" s="336"/>
      <c r="O319" s="1626"/>
      <c r="P319" s="1626"/>
      <c r="AH319" s="1633">
        <v>0</v>
      </c>
    </row>
    <row s="1637" customFormat="1" customHeight="1" ht="0.75" hidden="1">
      <c r="A320" s="1782"/>
      <c r="B320" s="1782"/>
      <c r="C320" s="371" t="s">
        <v>1155</v>
      </c>
      <c r="D320" s="2464"/>
      <c r="E320" s="2206"/>
      <c r="F320" s="2385"/>
      <c r="G320" s="402"/>
      <c r="H320" s="1502"/>
      <c r="I320" s="653"/>
      <c r="J320" s="573"/>
      <c r="K320" s="1502"/>
      <c r="L320" s="216"/>
      <c r="M320" s="343"/>
      <c r="N320" s="336"/>
      <c r="O320" s="1626"/>
      <c r="P320" s="1626"/>
      <c r="AH320" s="1633">
        <v>0</v>
      </c>
    </row>
    <row s="1637" customFormat="1" customHeight="1" ht="18.75" hidden="1">
      <c r="A321" s="1782" t="s">
        <v>265</v>
      </c>
      <c r="B321" s="1782" t="s">
        <v>266</v>
      </c>
      <c r="C321" s="371"/>
      <c r="D321" s="2464"/>
      <c r="E321" s="2206"/>
      <c r="F321" s="2385" t="str">
        <f>INDEX(PT_DIFFERENTIATION_VTAR,MATCH(A321,PT_DIFFERENTIATION_VTAR_ID,0))</f>
        <v>Тариф на водоотведение</v>
      </c>
      <c r="G321" s="2429" t="str">
        <f>INDEX(PT_DIFFERENTIATION_NTAR,MATCH(B321,PT_DIFFERENTIATION_NTAR_ID,0))</f>
        <v/>
      </c>
      <c r="H321" s="1864"/>
      <c r="I321" s="1741"/>
      <c r="J321" s="1775"/>
      <c r="K321" s="1780"/>
      <c r="L321" s="1864" t="s">
        <v>306</v>
      </c>
      <c r="M321" s="343"/>
      <c r="N321" s="336"/>
      <c r="O321" s="1626"/>
      <c r="P321" s="1626"/>
      <c r="AH321" s="1633">
        <v>0</v>
      </c>
    </row>
    <row s="1637" customFormat="1" customHeight="1" ht="18.75" hidden="1">
      <c r="A322" s="1782"/>
      <c r="B322" s="1782"/>
      <c r="C322" s="371" t="s">
        <v>1148</v>
      </c>
      <c r="D322" s="2464"/>
      <c r="E322" s="2206"/>
      <c r="F322" s="2385"/>
      <c r="G322" s="2429"/>
      <c r="H322" s="1502"/>
      <c r="I322" s="653" t="s">
        <v>1147</v>
      </c>
      <c r="J322" s="573"/>
      <c r="K322" s="1502"/>
      <c r="L322" s="216"/>
      <c r="M322" s="343"/>
      <c r="N322" s="336"/>
      <c r="O322" s="1626"/>
      <c r="P322" s="1626"/>
      <c r="AH322" s="1633">
        <v>0</v>
      </c>
    </row>
    <row s="1637" customFormat="1" customHeight="1" ht="0.75" hidden="1">
      <c r="A323" s="1782"/>
      <c r="B323" s="1782"/>
      <c r="C323" s="371" t="s">
        <v>1155</v>
      </c>
      <c r="D323" s="2464"/>
      <c r="E323" s="2206"/>
      <c r="F323" s="2385"/>
      <c r="G323" s="402"/>
      <c r="H323" s="1502"/>
      <c r="I323" s="653"/>
      <c r="J323" s="573"/>
      <c r="K323" s="1502"/>
      <c r="L323" s="216"/>
      <c r="M323" s="343"/>
      <c r="N323" s="336"/>
      <c r="O323" s="1626"/>
      <c r="P323" s="1626"/>
      <c r="AH323" s="1633">
        <v>0</v>
      </c>
    </row>
    <row s="1637" customFormat="1" customHeight="1" ht="18.75" hidden="1">
      <c r="A324" s="1782" t="s">
        <v>270</v>
      </c>
      <c r="B324" s="1782" t="s">
        <v>271</v>
      </c>
      <c r="C324" s="371"/>
      <c r="D324" s="2464"/>
      <c r="E324" s="2206"/>
      <c r="F324" s="2385" t="str">
        <f>INDEX(PT_DIFFERENTIATION_VTAR,MATCH(A324,PT_DIFFERENTIATION_VTAR_ID,0))</f>
        <v>Тариф на транспортировку сточных вод</v>
      </c>
      <c r="G324" s="2429" t="str">
        <f>INDEX(PT_DIFFERENTIATION_NTAR,MATCH(B324,PT_DIFFERENTIATION_NTAR_ID,0))</f>
        <v/>
      </c>
      <c r="H324" s="1864"/>
      <c r="I324" s="1741"/>
      <c r="J324" s="1775"/>
      <c r="K324" s="1780"/>
      <c r="L324" s="1864" t="s">
        <v>306</v>
      </c>
      <c r="M324" s="343"/>
      <c r="N324" s="336"/>
      <c r="O324" s="1626"/>
      <c r="P324" s="1626"/>
      <c r="AH324" s="1633">
        <v>0</v>
      </c>
    </row>
    <row s="1637" customFormat="1" customHeight="1" ht="18.75" hidden="1">
      <c r="A325" s="1782"/>
      <c r="B325" s="1782"/>
      <c r="C325" s="371" t="s">
        <v>1148</v>
      </c>
      <c r="D325" s="2464"/>
      <c r="E325" s="2206"/>
      <c r="F325" s="2385"/>
      <c r="G325" s="2429"/>
      <c r="H325" s="1502"/>
      <c r="I325" s="653" t="s">
        <v>1147</v>
      </c>
      <c r="J325" s="573"/>
      <c r="K325" s="1502"/>
      <c r="L325" s="216"/>
      <c r="M325" s="343"/>
      <c r="N325" s="336"/>
      <c r="O325" s="1626"/>
      <c r="P325" s="1626"/>
      <c r="AH325" s="1633">
        <v>0</v>
      </c>
    </row>
    <row s="1637" customFormat="1" customHeight="1" ht="0.75" hidden="1">
      <c r="A326" s="1782"/>
      <c r="B326" s="1782"/>
      <c r="C326" s="371" t="s">
        <v>1155</v>
      </c>
      <c r="D326" s="2464"/>
      <c r="E326" s="2206"/>
      <c r="F326" s="2385"/>
      <c r="G326" s="402"/>
      <c r="H326" s="1502"/>
      <c r="I326" s="653"/>
      <c r="J326" s="573"/>
      <c r="K326" s="1502"/>
      <c r="L326" s="216"/>
      <c r="M326" s="343"/>
      <c r="N326" s="336"/>
      <c r="O326" s="1626"/>
      <c r="P326" s="1626"/>
      <c r="AH326" s="1633">
        <v>0</v>
      </c>
    </row>
    <row s="1637" customFormat="1" customHeight="1" ht="18.75" hidden="1">
      <c r="A327" s="1782" t="s">
        <v>275</v>
      </c>
      <c r="B327" s="1782" t="s">
        <v>276</v>
      </c>
      <c r="C327" s="371"/>
      <c r="D327" s="2464"/>
      <c r="E327" s="2206"/>
      <c r="F327" s="2385" t="str">
        <f>INDEX(PT_DIFFERENTIATION_VTAR,MATCH(A327,PT_DIFFERENTIATION_VTAR_ID,0))</f>
        <v>Тариф на подключение (технологическое присоединение) к централизованной системе водоотведения</v>
      </c>
      <c r="G327" s="2429" t="str">
        <f>INDEX(PT_DIFFERENTIATION_NTAR,MATCH(B327,PT_DIFFERENTIATION_NTAR_ID,0))</f>
        <v/>
      </c>
      <c r="H327" s="1864"/>
      <c r="I327" s="1741"/>
      <c r="J327" s="1775"/>
      <c r="K327" s="1780"/>
      <c r="L327" s="1864" t="s">
        <v>306</v>
      </c>
      <c r="M327" s="343"/>
      <c r="N327" s="336"/>
      <c r="O327" s="1626"/>
      <c r="P327" s="1626"/>
      <c r="AH327" s="1633">
        <v>0</v>
      </c>
    </row>
    <row s="1637" customFormat="1" customHeight="1" ht="18.75" hidden="1">
      <c r="A328" s="1782"/>
      <c r="B328" s="1782"/>
      <c r="C328" s="371" t="s">
        <v>1148</v>
      </c>
      <c r="D328" s="2464"/>
      <c r="E328" s="2206"/>
      <c r="F328" s="2385"/>
      <c r="G328" s="2429"/>
      <c r="H328" s="1502"/>
      <c r="I328" s="653" t="s">
        <v>1147</v>
      </c>
      <c r="J328" s="573"/>
      <c r="K328" s="1502"/>
      <c r="L328" s="216"/>
      <c r="M328" s="343"/>
      <c r="N328" s="336"/>
      <c r="O328" s="1626"/>
      <c r="P328" s="1626"/>
      <c r="AH328" s="1633">
        <v>0</v>
      </c>
    </row>
    <row s="1637" customFormat="1" customHeight="1" ht="1.05">
      <c r="A329" s="1782"/>
      <c r="B329" s="1782"/>
      <c r="C329" s="371" t="s">
        <v>1155</v>
      </c>
      <c r="D329" s="2464"/>
      <c r="E329" s="2206"/>
      <c r="F329" s="2385"/>
      <c r="G329" s="402"/>
      <c r="H329" s="1502"/>
      <c r="I329" s="653"/>
      <c r="J329" s="573"/>
      <c r="K329" s="1502"/>
      <c r="L329" s="216"/>
      <c r="M329" s="343"/>
      <c r="N329" s="336"/>
      <c r="O329" s="1626"/>
      <c r="P329" s="1626"/>
      <c r="AH329" s="1633">
        <v>1</v>
      </c>
    </row>
    <row s="1825" customFormat="1" customHeight="1" ht="3">
      <c r="A330" s="1782"/>
      <c r="B330" s="1782"/>
      <c r="C330" s="1783"/>
      <c r="E330" s="404"/>
      <c r="F330" s="404"/>
      <c r="G330" s="404"/>
      <c r="H330" s="404"/>
      <c r="I330" s="404"/>
      <c r="J330" s="404"/>
      <c r="K330" s="404"/>
      <c r="L330" s="404"/>
      <c r="M330" s="404"/>
      <c r="O330" s="198"/>
      <c r="P330" s="198"/>
      <c r="AH330" s="142">
        <v>3</v>
      </c>
    </row>
    <row customHeight="1" ht="26.25">
      <c r="E331" s="204"/>
      <c r="F331" s="2287"/>
      <c r="G331" s="2287"/>
      <c r="H331" s="2287"/>
      <c r="I331" s="2287"/>
      <c r="J331" s="2287"/>
      <c r="K331" s="2287"/>
      <c r="L331" s="2287"/>
      <c r="M331" s="2287"/>
      <c r="AH331" s="376">
        <v>25</v>
      </c>
    </row>
    <row customHeight="1" ht="14.25" hidden="1">
      <c r="A332" s="1781" t="s">
        <v>82</v>
      </c>
      <c r="B332" s="1781">
        <v>0</v>
      </c>
      <c r="C332" s="371">
        <v>0</v>
      </c>
      <c r="D332" s="346">
        <v>3</v>
      </c>
      <c r="E332" s="376">
        <v>6</v>
      </c>
      <c r="F332" s="376">
        <v>46</v>
      </c>
      <c r="G332" s="376">
        <v>35</v>
      </c>
      <c r="H332" s="376">
        <v>3</v>
      </c>
      <c r="I332" s="376">
        <v>11</v>
      </c>
      <c r="J332" s="376">
        <v>11</v>
      </c>
      <c r="K332" s="376">
        <v>35</v>
      </c>
      <c r="L332" s="376">
        <v>35</v>
      </c>
      <c r="M332" s="376">
        <v>84</v>
      </c>
      <c r="N332" s="376">
        <v>10</v>
      </c>
      <c r="O332" s="352">
        <v>10</v>
      </c>
      <c r="P332" s="352">
        <v>10</v>
      </c>
      <c r="Q332" s="376">
        <v>10</v>
      </c>
      <c r="R332" s="376">
        <v>10</v>
      </c>
      <c r="S332" s="376">
        <v>10</v>
      </c>
      <c r="T332" s="376">
        <v>10</v>
      </c>
      <c r="U332" s="376">
        <v>10</v>
      </c>
      <c r="V332" s="376">
        <v>10</v>
      </c>
      <c r="W332" s="376">
        <v>10</v>
      </c>
      <c r="X332" s="376">
        <v>10</v>
      </c>
      <c r="Y332" s="376">
        <v>10</v>
      </c>
      <c r="Z332" s="376">
        <v>10</v>
      </c>
      <c r="AA332" s="376">
        <v>10</v>
      </c>
      <c r="AB332" s="376">
        <v>10</v>
      </c>
      <c r="AC332" s="376">
        <v>10</v>
      </c>
      <c r="AD332" s="376">
        <v>10</v>
      </c>
      <c r="AE332" s="376">
        <v>10</v>
      </c>
      <c r="AF332" s="376">
        <v>10</v>
      </c>
      <c r="AG332" s="376">
        <v>10</v>
      </c>
      <c r="AH332" s="376">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5EE68B-4149-2DA1-F3CE-9BB0656D33CD}"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5" style="1637" width="53.00390625" customWidth="1"/>
    <col min="6" max="7" style="1637" width="35.00390625" customWidth="1"/>
    <col min="8" max="8" style="1637" width="89.00390625" customWidth="1"/>
    <col min="9" max="9" style="1637" width="10.00390625" customWidth="1"/>
    <col min="10" max="11" style="1626" width="10.00390625" customWidth="1"/>
    <col min="12" max="17" style="1637" width="10.00390625" customWidth="1"/>
    <col min="18" max="18" style="1637" width="10.57421875" hidden="1"/>
  </cols>
  <sheetData>
    <row customHeight="1" ht="22.5" hidden="1">
      <c r="N1" s="257"/>
      <c r="O1" s="257"/>
      <c r="Q1" s="257"/>
      <c r="R1" s="376" t="s">
        <v>14</v>
      </c>
    </row>
    <row s="1637" customFormat="1" customHeight="1" ht="18.75" hidden="1">
      <c r="A2" s="104"/>
      <c r="B2" s="1162"/>
      <c r="C2" s="1732" t="s">
        <v>689</v>
      </c>
      <c r="D2" s="1675"/>
      <c r="E2" s="1684"/>
      <c r="F2" s="259"/>
      <c r="G2" s="1163"/>
      <c r="H2" s="376"/>
      <c r="I2" s="1626"/>
      <c r="J2" s="1626"/>
      <c r="R2" s="1633">
        <v>0</v>
      </c>
    </row>
    <row customHeight="1" ht="14.25" hidden="1">
      <c r="R3" s="376">
        <v>0</v>
      </c>
    </row>
    <row customHeight="1" ht="6.3">
      <c r="C4" s="378"/>
      <c r="D4" s="365"/>
      <c r="E4" s="365"/>
      <c r="F4" s="365"/>
      <c r="G4" s="87"/>
      <c r="H4" s="87"/>
      <c r="R4" s="376">
        <v>6</v>
      </c>
    </row>
    <row customHeight="1" ht="34.5">
      <c r="C5" s="378"/>
      <c r="D5" s="245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7"/>
      <c r="F5" s="2457"/>
      <c r="G5" s="2458"/>
      <c r="H5" s="268"/>
      <c r="R5" s="376">
        <v>33</v>
      </c>
    </row>
    <row s="1637" customFormat="1" customHeight="1" ht="18">
      <c r="A6" s="1671"/>
      <c r="B6" s="1162"/>
      <c r="C6" s="378"/>
      <c r="D6" s="2459" t="str">
        <f>IF(org=0,"Не определено",org)</f>
        <v>ПАО "ТГК-2"</v>
      </c>
      <c r="E6" s="2460"/>
      <c r="F6" s="2460"/>
      <c r="G6" s="2461"/>
      <c r="H6" s="268"/>
      <c r="J6" s="1626"/>
      <c r="K6" s="1626"/>
      <c r="R6" s="1633">
        <v>17</v>
      </c>
    </row>
    <row customHeight="1" ht="14.699999999999998">
      <c r="C7" s="378"/>
      <c r="D7" s="365"/>
      <c r="E7" s="391"/>
      <c r="F7" s="391"/>
      <c r="G7" s="754"/>
      <c r="H7" s="195"/>
      <c r="R7" s="376">
        <v>14</v>
      </c>
    </row>
    <row customHeight="1" ht="14.699999999999998">
      <c r="C8" s="378"/>
      <c r="D8" s="2211" t="s">
        <v>300</v>
      </c>
      <c r="E8" s="2211"/>
      <c r="F8" s="2211"/>
      <c r="G8" s="2211"/>
      <c r="H8" s="2391" t="s">
        <v>301</v>
      </c>
      <c r="R8" s="376">
        <v>14</v>
      </c>
    </row>
    <row customHeight="1" ht="24">
      <c r="C9" s="378"/>
      <c r="D9" s="388" t="s">
        <v>88</v>
      </c>
      <c r="E9" s="110" t="s">
        <v>302</v>
      </c>
      <c r="F9" s="110" t="s">
        <v>303</v>
      </c>
      <c r="G9" s="110" t="s">
        <v>390</v>
      </c>
      <c r="H9" s="2391"/>
      <c r="R9" s="376">
        <v>23</v>
      </c>
    </row>
    <row customHeight="1" ht="14.699999999999998">
      <c r="A10" s="345"/>
      <c r="C10" s="378"/>
      <c r="D10" s="149" t="s">
        <v>109</v>
      </c>
      <c r="E10" s="188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9"/>
      <c r="G10" s="215"/>
      <c r="H10" s="2171" t="s">
        <v>1156</v>
      </c>
      <c r="R10" s="376">
        <v>14</v>
      </c>
    </row>
    <row customHeight="1" ht="14.699999999999998">
      <c r="A11" s="345"/>
      <c r="C11" s="378"/>
      <c r="D11" s="149" t="s">
        <v>110</v>
      </c>
      <c r="E11" s="188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9"/>
      <c r="G11" s="215"/>
      <c r="H11" s="2172"/>
      <c r="R11" s="376">
        <v>14</v>
      </c>
    </row>
    <row customHeight="1" ht="14.699999999999998">
      <c r="A12" s="104"/>
      <c r="C12" s="389"/>
      <c r="D12" s="149" t="s">
        <v>90</v>
      </c>
      <c r="E12" s="390" t="str">
        <f>"Сведения о планировании закупочных процедур"&amp;IF(TEMPLATE_SPHERE="TKO"," &lt;1&gt;","")</f>
        <v>Сведения о планировании закупочных процедур</v>
      </c>
      <c r="F12" s="259"/>
      <c r="G12" s="215"/>
      <c r="H12" s="217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2"/>
      <c r="K12" s="376"/>
      <c r="R12" s="376">
        <v>14</v>
      </c>
    </row>
    <row customHeight="1" ht="14.699999999999998">
      <c r="A13" s="104"/>
      <c r="C13" s="389"/>
      <c r="D13" s="149" t="s">
        <v>91</v>
      </c>
      <c r="E13" s="390" t="str">
        <f>"Сведения о результатах проведения закупочных процедур"&amp;IF(TEMPLATE_SPHERE="TKO"," &lt;1&gt;","")</f>
        <v>Сведения о результатах проведения закупочных процедур</v>
      </c>
      <c r="F13" s="259"/>
      <c r="G13" s="215"/>
      <c r="H13" s="2172"/>
      <c r="I13" s="352"/>
      <c r="K13" s="376"/>
      <c r="R13" s="376">
        <v>14</v>
      </c>
    </row>
    <row customHeight="1" ht="14.699999999999998">
      <c r="A14" s="345"/>
      <c r="C14" s="378"/>
      <c r="D14" s="349"/>
      <c r="E14" s="397" t="s">
        <v>322</v>
      </c>
      <c r="F14" s="351"/>
      <c r="G14" s="203"/>
      <c r="H14" s="2173"/>
      <c r="R14" s="376">
        <v>14</v>
      </c>
    </row>
    <row s="1637" customFormat="1" customHeight="1" ht="14.699999999999998">
      <c r="A15" s="345"/>
      <c r="B15" s="1162"/>
      <c r="C15" s="378"/>
      <c r="D15" s="398"/>
      <c r="E15" s="1679"/>
      <c r="F15" s="1680"/>
      <c r="G15" s="1681"/>
      <c r="H15" s="1682"/>
      <c r="J15" s="1626"/>
      <c r="K15" s="1626"/>
      <c r="R15" s="1633">
        <v>14</v>
      </c>
    </row>
    <row customHeight="1" ht="14.699999999999998">
      <c r="D16" s="1683"/>
      <c r="E16" s="2387"/>
      <c r="F16" s="2387"/>
      <c r="G16" s="2387"/>
      <c r="H16" s="2387"/>
      <c r="R16" s="376">
        <v>14</v>
      </c>
    </row>
    <row customHeight="1" ht="22.5" hidden="1">
      <c r="A17" s="366" t="s">
        <v>82</v>
      </c>
      <c r="B17" s="148">
        <v>0</v>
      </c>
      <c r="C17" s="346">
        <v>3</v>
      </c>
      <c r="D17" s="376">
        <v>6</v>
      </c>
      <c r="E17" s="376">
        <v>53</v>
      </c>
      <c r="F17" s="376">
        <v>35</v>
      </c>
      <c r="G17" s="376">
        <v>35</v>
      </c>
      <c r="H17" s="376">
        <v>89</v>
      </c>
      <c r="I17" s="376">
        <v>10</v>
      </c>
      <c r="J17" s="352">
        <v>10</v>
      </c>
      <c r="K17" s="352">
        <v>10</v>
      </c>
      <c r="L17" s="376">
        <v>10</v>
      </c>
      <c r="M17" s="376">
        <v>10</v>
      </c>
      <c r="N17" s="376">
        <v>10</v>
      </c>
      <c r="O17" s="376">
        <v>10</v>
      </c>
      <c r="P17" s="376">
        <v>10</v>
      </c>
      <c r="Q17" s="376">
        <v>10</v>
      </c>
      <c r="R17" s="376">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1DFC63-B9C6-51CD-8B6A-822507E0A9DD}"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6" width="3.7109375" hidden="1" customWidth="1"/>
    <col min="3" max="3" style="1855" width="3.00390625" customWidth="1"/>
    <col min="4" max="4" style="1855" width="6.00390625" customWidth="1"/>
    <col min="5" max="5" style="1855" width="42.00390625" customWidth="1"/>
    <col min="6" max="6" style="1855" width="15.00390625" customWidth="1"/>
    <col min="7" max="7" style="1855" width="42.00390625" customWidth="1"/>
    <col min="8" max="8" style="1855" width="3.00390625" customWidth="1"/>
    <col min="9" max="9" style="1855" width="5.00390625" customWidth="1"/>
    <col min="10" max="10" style="1855" width="47.00390625" customWidth="1"/>
    <col min="11" max="12" style="1855" width="3.00390625" customWidth="1"/>
    <col min="13" max="13" style="1855" width="5.00390625" customWidth="1"/>
    <col min="14" max="14" style="1855" width="28.00390625" customWidth="1"/>
    <col min="15" max="16" style="1855" width="3.00390625" customWidth="1"/>
    <col min="17" max="17" style="1855" width="5.00390625" customWidth="1"/>
    <col min="18" max="18" style="1855" width="34.00390625" customWidth="1"/>
    <col min="19" max="20" style="1855" width="3.7109375" customWidth="1"/>
    <col min="21" max="21" style="1855" width="5.7109375" customWidth="1"/>
    <col min="22" max="22" style="1855" width="34.421875" customWidth="1"/>
    <col min="23" max="23" style="1855" width="30.00390625" customWidth="1"/>
    <col min="24" max="24" style="1855" width="3.00390625" customWidth="1"/>
    <col min="25" max="28" style="1268" width="9.8515625" hidden="1" customWidth="1"/>
    <col min="29" max="29" style="1268" width="27.00390625" hidden="1" customWidth="1"/>
    <col min="30" max="30" style="1268" width="10.57421875" hidden="1" customWidth="1"/>
    <col min="31" max="31" style="1268" width="10.7109375" hidden="1" customWidth="1"/>
    <col min="32" max="32" style="1268" width="10.00390625" hidden="1" customWidth="1"/>
    <col min="33" max="33" style="1268" width="12.8515625" hidden="1" customWidth="1"/>
    <col min="34" max="34" style="1268" width="24.421875" hidden="1" customWidth="1"/>
    <col min="35" max="35" style="1268" width="15.8515625" hidden="1" customWidth="1"/>
    <col min="36" max="36" style="1268" width="19.421875" hidden="1" customWidth="1"/>
    <col min="37" max="37" style="1268" width="11.00390625" hidden="1" customWidth="1"/>
    <col min="38" max="38" style="1268" width="23.57421875" hidden="1" customWidth="1"/>
    <col min="39" max="39" style="1268" width="23.8515625" hidden="1" customWidth="1"/>
    <col min="40" max="40" style="1268" width="25.28125" hidden="1" customWidth="1"/>
    <col min="41" max="41" style="1268" width="16.8515625" hidden="1" customWidth="1"/>
    <col min="42" max="42" style="1268" width="29.57421875" hidden="1" customWidth="1"/>
    <col min="43" max="43" style="1268" width="29.8515625" hidden="1" customWidth="1"/>
    <col min="44" max="44" style="1855" width="9.140625" hidden="1"/>
  </cols>
  <sheetData>
    <row customHeight="1" ht="11.25" hidden="1">
      <c r="A1" s="158"/>
      <c r="AR1" s="106" t="s">
        <v>14</v>
      </c>
    </row>
    <row customHeight="1" ht="11.25" hidden="1">
      <c r="AR2" s="106">
        <v>0</v>
      </c>
    </row>
    <row customHeight="1" ht="11.25" hidden="1">
      <c r="AR3" s="106">
        <v>0</v>
      </c>
    </row>
    <row customHeight="1" ht="3">
      <c r="AR4" s="106">
        <v>3</v>
      </c>
    </row>
    <row s="591" customFormat="1" customHeight="1" ht="30.45">
      <c r="A5" s="156"/>
      <c r="B5" s="156"/>
      <c r="D5" s="215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0"/>
      <c r="F5" s="2160"/>
      <c r="G5" s="2160"/>
      <c r="H5" s="2160"/>
      <c r="I5" s="2160"/>
      <c r="J5" s="2161"/>
      <c r="K5" s="267"/>
      <c r="L5" s="144"/>
      <c r="M5" s="144"/>
      <c r="N5" s="144"/>
      <c r="O5" s="144"/>
      <c r="P5" s="144"/>
      <c r="Q5" s="144"/>
      <c r="R5" s="144"/>
      <c r="S5" s="292"/>
      <c r="T5" s="292"/>
      <c r="U5" s="292"/>
      <c r="V5" s="292"/>
      <c r="W5" s="144"/>
      <c r="Y5" s="1262"/>
      <c r="Z5" s="1262"/>
      <c r="AA5" s="1262"/>
      <c r="AB5" s="1262"/>
      <c r="AC5" s="1262"/>
      <c r="AD5" s="1262"/>
      <c r="AE5" s="1262"/>
      <c r="AF5" s="1262"/>
      <c r="AG5" s="1262"/>
      <c r="AH5" s="1262"/>
      <c r="AI5" s="1262"/>
      <c r="AJ5" s="1262"/>
      <c r="AK5" s="1262"/>
      <c r="AL5" s="1262"/>
      <c r="AM5" s="1262"/>
      <c r="AN5" s="1262"/>
      <c r="AO5" s="1262"/>
      <c r="AP5" s="1262"/>
      <c r="AQ5" s="1262"/>
      <c r="AR5" s="113">
        <v>29</v>
      </c>
    </row>
    <row s="591" customFormat="1" customHeight="1" ht="14.699999999999998">
      <c r="A6" s="587"/>
      <c r="B6" s="587"/>
      <c r="C6" s="587"/>
      <c r="D6" s="2165" t="str">
        <f>IF(org=0,"Не определено",org)</f>
        <v>ПАО "ТГК-2"</v>
      </c>
      <c r="E6" s="2165"/>
      <c r="F6" s="2165"/>
      <c r="G6" s="2165"/>
      <c r="H6" s="2165"/>
      <c r="I6" s="2165"/>
      <c r="J6" s="2165"/>
      <c r="K6" s="588"/>
      <c r="L6" s="588"/>
      <c r="M6" s="588"/>
      <c r="N6" s="588"/>
      <c r="O6" s="872"/>
      <c r="P6" s="872"/>
      <c r="Q6" s="872"/>
      <c r="R6" s="872"/>
      <c r="S6" s="872"/>
      <c r="T6" s="872"/>
      <c r="U6" s="872"/>
      <c r="V6" s="872"/>
      <c r="W6" s="872"/>
      <c r="X6" s="588"/>
      <c r="Y6" s="1263"/>
      <c r="Z6" s="1263"/>
      <c r="AA6" s="1263"/>
      <c r="AB6" s="1263"/>
      <c r="AC6" s="1263"/>
      <c r="AD6" s="1263"/>
      <c r="AE6" s="1263"/>
      <c r="AF6" s="1263"/>
      <c r="AG6" s="1263"/>
      <c r="AH6" s="1263"/>
      <c r="AI6" s="1263"/>
      <c r="AJ6" s="1263"/>
      <c r="AK6" s="1263"/>
      <c r="AL6" s="1263"/>
      <c r="AM6" s="1263"/>
      <c r="AN6" s="1263"/>
      <c r="AO6" s="1263"/>
      <c r="AP6" s="1263"/>
      <c r="AQ6" s="1263"/>
      <c r="AR6" s="589">
        <v>14</v>
      </c>
    </row>
    <row s="301" customFormat="1" customHeight="1" ht="11.549999999999999">
      <c r="A7" s="213"/>
      <c r="B7" s="213"/>
      <c r="D7" s="2162"/>
      <c r="E7" s="2163"/>
      <c r="F7" s="2163"/>
      <c r="G7" s="2163"/>
      <c r="H7" s="2163"/>
      <c r="I7" s="2163"/>
      <c r="J7" s="2164"/>
      <c r="S7" s="301"/>
      <c r="T7" s="301"/>
      <c r="U7" s="301"/>
      <c r="V7" s="301"/>
      <c r="Y7" s="1264"/>
      <c r="Z7" s="1264"/>
      <c r="AA7" s="1264"/>
      <c r="AB7" s="1264"/>
      <c r="AC7" s="1264"/>
      <c r="AD7" s="1264"/>
      <c r="AE7" s="1264"/>
      <c r="AF7" s="1264"/>
      <c r="AG7" s="1264"/>
      <c r="AH7" s="1264"/>
      <c r="AI7" s="1264"/>
      <c r="AJ7" s="1264"/>
      <c r="AK7" s="1264"/>
      <c r="AL7" s="1264"/>
      <c r="AM7" s="1264"/>
      <c r="AN7" s="1264"/>
      <c r="AO7" s="1264"/>
      <c r="AP7" s="1264"/>
      <c r="AQ7" s="1264"/>
      <c r="AR7" s="278">
        <v>11</v>
      </c>
    </row>
    <row s="591" customFormat="1" customHeight="1" ht="1.05">
      <c r="A8" s="156"/>
      <c r="B8" s="156"/>
      <c r="D8" s="214"/>
      <c r="E8" s="214"/>
      <c r="F8" s="214"/>
      <c r="G8" s="214"/>
      <c r="H8" s="214"/>
      <c r="I8" s="214"/>
      <c r="J8" s="214"/>
      <c r="K8" s="214"/>
      <c r="L8" s="214"/>
      <c r="M8" s="214"/>
      <c r="N8" s="214"/>
      <c r="O8" s="214"/>
      <c r="P8" s="214"/>
      <c r="Q8" s="214"/>
      <c r="R8" s="214"/>
      <c r="S8" s="214"/>
      <c r="T8" s="214"/>
      <c r="U8" s="214"/>
      <c r="V8" s="214"/>
      <c r="W8" s="214"/>
      <c r="X8" s="134"/>
      <c r="Y8" s="1262"/>
      <c r="Z8" s="1262"/>
      <c r="AA8" s="1262"/>
      <c r="AB8" s="1262"/>
      <c r="AC8" s="1262"/>
      <c r="AD8" s="1262"/>
      <c r="AE8" s="1262"/>
      <c r="AF8" s="1262"/>
      <c r="AG8" s="1262"/>
      <c r="AH8" s="1262"/>
      <c r="AI8" s="1262"/>
      <c r="AJ8" s="1262"/>
      <c r="AK8" s="1262"/>
      <c r="AL8" s="1262"/>
      <c r="AM8" s="1262"/>
      <c r="AN8" s="1262"/>
      <c r="AO8" s="1262"/>
      <c r="AP8" s="1262"/>
      <c r="AQ8" s="1262"/>
      <c r="AR8" s="113">
        <v>1</v>
      </c>
    </row>
    <row customHeight="1" ht="28.5">
      <c r="D9" s="2129" t="s">
        <v>88</v>
      </c>
      <c r="E9" s="2103" t="s">
        <v>124</v>
      </c>
      <c r="F9" s="2105"/>
      <c r="G9" s="2129" t="s">
        <v>105</v>
      </c>
      <c r="H9" s="2129" t="s">
        <v>88</v>
      </c>
      <c r="I9" s="2129"/>
      <c r="J9" s="2129" t="s">
        <v>125</v>
      </c>
      <c r="K9" s="2157" t="s">
        <v>126</v>
      </c>
      <c r="L9" s="2157"/>
      <c r="M9" s="2157"/>
      <c r="N9" s="2157"/>
      <c r="O9" s="2157" t="s">
        <v>127</v>
      </c>
      <c r="P9" s="2157"/>
      <c r="Q9" s="2157"/>
      <c r="R9" s="2157"/>
      <c r="S9" s="2157" t="s">
        <v>128</v>
      </c>
      <c r="T9" s="2157"/>
      <c r="U9" s="2157"/>
      <c r="V9" s="2157"/>
      <c r="W9" s="2129" t="s">
        <v>129</v>
      </c>
      <c r="AR9" s="106">
        <v>27</v>
      </c>
    </row>
    <row customHeight="1" ht="31.5">
      <c r="D10" s="2129"/>
      <c r="E10" s="1286" t="s">
        <v>89</v>
      </c>
      <c r="F10" s="1286" t="s">
        <v>130</v>
      </c>
      <c r="G10" s="2129"/>
      <c r="H10" s="2129"/>
      <c r="I10" s="2129"/>
      <c r="J10" s="2129"/>
      <c r="K10" s="112" t="s">
        <v>108</v>
      </c>
      <c r="L10" s="2129" t="s">
        <v>88</v>
      </c>
      <c r="M10" s="2129"/>
      <c r="N10" s="112" t="s">
        <v>131</v>
      </c>
      <c r="O10" s="112" t="s">
        <v>108</v>
      </c>
      <c r="P10" s="2129" t="s">
        <v>88</v>
      </c>
      <c r="Q10" s="2129"/>
      <c r="R10" s="112" t="s">
        <v>131</v>
      </c>
      <c r="S10" s="285" t="s">
        <v>108</v>
      </c>
      <c r="T10" s="2129" t="s">
        <v>88</v>
      </c>
      <c r="U10" s="2129"/>
      <c r="V10" s="285" t="s">
        <v>89</v>
      </c>
      <c r="W10" s="2129"/>
      <c r="Z10" s="1261" t="s">
        <v>132</v>
      </c>
      <c r="AA10" s="1261" t="s">
        <v>133</v>
      </c>
      <c r="AB10" s="1261" t="s">
        <v>134</v>
      </c>
      <c r="AC10" s="1261" t="s">
        <v>135</v>
      </c>
      <c r="AD10" s="1261" t="s">
        <v>136</v>
      </c>
      <c r="AE10" s="1261" t="s">
        <v>137</v>
      </c>
      <c r="AF10" s="1261" t="s">
        <v>138</v>
      </c>
      <c r="AG10" s="1261" t="s">
        <v>139</v>
      </c>
      <c r="AH10" s="1261" t="s">
        <v>140</v>
      </c>
      <c r="AI10" s="1261" t="s">
        <v>141</v>
      </c>
      <c r="AJ10" s="1261" t="s">
        <v>142</v>
      </c>
      <c r="AK10" s="1261" t="s">
        <v>143</v>
      </c>
      <c r="AL10" s="1261" t="s">
        <v>144</v>
      </c>
      <c r="AM10" s="1261" t="s">
        <v>145</v>
      </c>
      <c r="AN10" s="1261" t="s">
        <v>146</v>
      </c>
      <c r="AO10" s="1261" t="s">
        <v>147</v>
      </c>
      <c r="AP10" s="1261" t="s">
        <v>148</v>
      </c>
      <c r="AQ10" s="1261" t="s">
        <v>149</v>
      </c>
      <c r="AR10" s="106">
        <v>30</v>
      </c>
    </row>
    <row s="1626" customFormat="1" customHeight="1" ht="12" hidden="1">
      <c r="D11" s="1251" t="s">
        <v>109</v>
      </c>
      <c r="E11" s="1251" t="s">
        <v>110</v>
      </c>
      <c r="F11" s="1251"/>
      <c r="G11" s="1251" t="s">
        <v>90</v>
      </c>
      <c r="H11" s="2158" t="s">
        <v>111</v>
      </c>
      <c r="I11" s="2158"/>
      <c r="J11" s="1251" t="s">
        <v>92</v>
      </c>
      <c r="K11" s="1251" t="s">
        <v>93</v>
      </c>
      <c r="L11" s="2158" t="s">
        <v>112</v>
      </c>
      <c r="M11" s="2158"/>
      <c r="N11" s="1251" t="s">
        <v>150</v>
      </c>
      <c r="O11" s="1251" t="s">
        <v>151</v>
      </c>
      <c r="P11" s="2158" t="s">
        <v>152</v>
      </c>
      <c r="Q11" s="2158"/>
      <c r="R11" s="1251" t="s">
        <v>153</v>
      </c>
      <c r="S11" s="1251" t="s">
        <v>152</v>
      </c>
      <c r="T11" s="2158" t="s">
        <v>153</v>
      </c>
      <c r="U11" s="2158"/>
      <c r="V11" s="1251" t="s">
        <v>154</v>
      </c>
      <c r="W11" s="1251" t="s">
        <v>155</v>
      </c>
      <c r="Y11" s="1261"/>
      <c r="Z11" s="1261"/>
      <c r="AA11" s="1261"/>
      <c r="AB11" s="1261"/>
      <c r="AC11" s="1261"/>
      <c r="AD11" s="1261"/>
      <c r="AE11" s="1261"/>
      <c r="AF11" s="1261"/>
      <c r="AG11" s="1261"/>
      <c r="AH11" s="1261"/>
      <c r="AI11" s="1261"/>
      <c r="AJ11" s="1261"/>
      <c r="AK11" s="1261"/>
      <c r="AL11" s="1261"/>
      <c r="AM11" s="1261"/>
      <c r="AN11" s="1261"/>
      <c r="AO11" s="1261"/>
      <c r="AP11" s="1261"/>
      <c r="AQ11" s="1261"/>
      <c r="AR11" s="279">
        <v>0</v>
      </c>
    </row>
    <row customHeight="1" ht="14.25" hidden="1">
      <c r="C12" s="211"/>
      <c r="D12" s="1284">
        <v>0</v>
      </c>
      <c r="E12" s="252"/>
      <c r="F12" s="252"/>
      <c r="G12" s="252"/>
      <c r="H12" s="253"/>
      <c r="I12" s="253"/>
      <c r="J12" s="160"/>
      <c r="K12" s="114"/>
      <c r="L12" s="160"/>
      <c r="M12" s="160"/>
      <c r="N12" s="254"/>
      <c r="O12" s="114"/>
      <c r="P12" s="160"/>
      <c r="Q12" s="160"/>
      <c r="R12" s="255"/>
      <c r="S12" s="286"/>
      <c r="T12" s="294"/>
      <c r="U12" s="294"/>
      <c r="V12" s="298"/>
      <c r="W12" s="114"/>
      <c r="X12" s="143"/>
      <c r="AR12" s="106">
        <v>0</v>
      </c>
    </row>
    <row s="1855" customFormat="1" customHeight="1" ht="17.25" hidden="1">
      <c r="A13" s="323"/>
      <c r="C13" s="211"/>
      <c r="D13" s="2137">
        <v>1</v>
      </c>
      <c r="E13" s="2145" t="s">
        <v>156</v>
      </c>
      <c r="F13" s="2147" t="s">
        <v>19</v>
      </c>
      <c r="G13" s="2145"/>
      <c r="H13" s="2150"/>
      <c r="I13" s="2152"/>
      <c r="J13" s="2154"/>
      <c r="K13" s="2139"/>
      <c r="L13" s="2139"/>
      <c r="M13" s="2139"/>
      <c r="N13" s="2141"/>
      <c r="O13" s="2139"/>
      <c r="P13" s="2139"/>
      <c r="Q13" s="2139"/>
      <c r="R13" s="2144"/>
      <c r="S13" s="2139"/>
      <c r="T13" s="1422"/>
      <c r="U13" s="1422"/>
      <c r="V13" s="1421"/>
      <c r="W13" s="1298"/>
      <c r="Y13" s="1269"/>
      <c r="Z13" s="1269"/>
      <c r="AA13" s="1269"/>
      <c r="AB13" s="1269"/>
      <c r="AC13" s="1269" t="s">
        <v>157</v>
      </c>
      <c r="AD13" s="1269" t="s">
        <v>158</v>
      </c>
      <c r="AE13" s="1269" t="s">
        <v>159</v>
      </c>
      <c r="AF13" s="1269" t="s">
        <v>160</v>
      </c>
      <c r="AG13" s="1269" t="s">
        <v>161</v>
      </c>
      <c r="AH13" s="1269"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9" t="str">
        <f>IF($G$13=0,"",$G$13)</f>
        <v/>
      </c>
      <c r="AJ13" s="1269" t="str">
        <f>IF($J$13=0,"",$J$13)</f>
        <v/>
      </c>
      <c r="AK13" s="1269" t="str">
        <f>IF($K$13="нет","без дифференциации",IF($N$13=0,"",$N$13))</f>
        <v/>
      </c>
      <c r="AL13" s="1269" t="str">
        <f>IF($O$13="нет","без дифференциации",IF($R$13=0,"",$R$13))</f>
        <v/>
      </c>
      <c r="AM13" s="1269" t="str">
        <f>IF($S$13="нет","без дифференциации",IF($V$13=0,"",$V$13))</f>
        <v/>
      </c>
      <c r="AN13" s="1269">
        <f>$I$13</f>
        <v>0</v>
      </c>
      <c r="AO13" s="1269" t="str">
        <f>$I$13&amp;"."&amp;$M$13</f>
        <v>.</v>
      </c>
      <c r="AP13" s="1269" t="str">
        <f>$I$13&amp;"."&amp;$M$13&amp;"."&amp;$Q$13</f>
        <v>..</v>
      </c>
      <c r="AQ13" s="1269" t="str">
        <f>$I$13&amp;"."&amp;$M$13&amp;"."&amp;$Q$13&amp;"."&amp;$U$13</f>
        <v>...</v>
      </c>
      <c r="AR13" s="752">
        <v>0</v>
      </c>
    </row>
    <row s="1855" customFormat="1" customHeight="1" ht="17.25" hidden="1">
      <c r="A14" s="323"/>
      <c r="C14" s="322"/>
      <c r="D14" s="2137"/>
      <c r="E14" s="2145"/>
      <c r="F14" s="2148"/>
      <c r="G14" s="2145"/>
      <c r="H14" s="2151"/>
      <c r="I14" s="2153"/>
      <c r="J14" s="2155"/>
      <c r="K14" s="2140"/>
      <c r="L14" s="2140"/>
      <c r="M14" s="2140"/>
      <c r="N14" s="2142"/>
      <c r="O14" s="2140"/>
      <c r="P14" s="2140"/>
      <c r="Q14" s="2140"/>
      <c r="R14" s="2143"/>
      <c r="S14" s="2140"/>
      <c r="T14" s="1299"/>
      <c r="U14" s="1299"/>
      <c r="V14" s="1299"/>
      <c r="W14" s="1300"/>
      <c r="Y14" s="1261"/>
      <c r="Z14" s="1261"/>
      <c r="AA14" s="1261"/>
      <c r="AB14" s="1261"/>
      <c r="AC14" s="1261"/>
      <c r="AD14" s="1261"/>
      <c r="AE14" s="1261"/>
      <c r="AF14" s="1261"/>
      <c r="AG14" s="1261"/>
      <c r="AH14" s="1261"/>
      <c r="AI14" s="1261"/>
      <c r="AJ14" s="1261"/>
      <c r="AK14" s="1261"/>
      <c r="AL14" s="1261"/>
      <c r="AM14" s="1261"/>
      <c r="AN14" s="1261"/>
      <c r="AO14" s="1261"/>
      <c r="AP14" s="1261"/>
      <c r="AQ14" s="1261"/>
      <c r="AR14" s="752">
        <v>0</v>
      </c>
    </row>
    <row s="1855" customFormat="1" customHeight="1" ht="17.25" hidden="1">
      <c r="A15" s="323"/>
      <c r="C15" s="211"/>
      <c r="D15" s="2137"/>
      <c r="E15" s="2145"/>
      <c r="F15" s="2148"/>
      <c r="G15" s="2145"/>
      <c r="H15" s="2151"/>
      <c r="I15" s="2153"/>
      <c r="J15" s="2156"/>
      <c r="K15" s="2140"/>
      <c r="L15" s="2140"/>
      <c r="M15" s="2140"/>
      <c r="N15" s="2143"/>
      <c r="O15" s="2140"/>
      <c r="P15" s="1420"/>
      <c r="Q15" s="1299"/>
      <c r="R15" s="1299"/>
      <c r="S15" s="331"/>
      <c r="T15" s="331"/>
      <c r="U15" s="331"/>
      <c r="V15" s="331"/>
      <c r="W15" s="1300"/>
      <c r="Y15" s="1269"/>
      <c r="Z15" s="1269"/>
      <c r="AA15" s="1269"/>
      <c r="AB15" s="1269"/>
      <c r="AC15" s="1269"/>
      <c r="AD15" s="1269"/>
      <c r="AE15" s="1269"/>
      <c r="AF15" s="1269"/>
      <c r="AG15" s="1269"/>
      <c r="AH15" s="1269"/>
      <c r="AI15" s="1269"/>
      <c r="AJ15" s="1269"/>
      <c r="AK15" s="1269"/>
      <c r="AL15" s="1269"/>
      <c r="AM15" s="1269"/>
      <c r="AN15" s="1269"/>
      <c r="AO15" s="1269"/>
      <c r="AP15" s="1269"/>
      <c r="AQ15" s="1269"/>
      <c r="AR15" s="1419">
        <v>0</v>
      </c>
    </row>
    <row s="1855" customFormat="1" customHeight="1" ht="17.25" hidden="1">
      <c r="A16" s="323"/>
      <c r="C16" s="322"/>
      <c r="D16" s="2137"/>
      <c r="E16" s="2145"/>
      <c r="F16" s="2148"/>
      <c r="G16" s="2145"/>
      <c r="H16" s="2151"/>
      <c r="I16" s="2153"/>
      <c r="J16" s="2156"/>
      <c r="K16" s="2140"/>
      <c r="L16" s="1299"/>
      <c r="M16" s="1299"/>
      <c r="N16" s="1299"/>
      <c r="O16" s="1299"/>
      <c r="P16" s="1299"/>
      <c r="Q16" s="1299"/>
      <c r="R16" s="1299"/>
      <c r="S16" s="331"/>
      <c r="T16" s="331"/>
      <c r="U16" s="331"/>
      <c r="V16" s="331"/>
      <c r="W16" s="1300"/>
      <c r="Y16" s="1261"/>
      <c r="Z16" s="1261"/>
      <c r="AA16" s="1261"/>
      <c r="AB16" s="1261"/>
      <c r="AC16" s="1261"/>
      <c r="AD16" s="1261"/>
      <c r="AE16" s="1261"/>
      <c r="AF16" s="1261"/>
      <c r="AG16" s="1261"/>
      <c r="AH16" s="1261"/>
      <c r="AI16" s="1261"/>
      <c r="AJ16" s="1261"/>
      <c r="AK16" s="1261"/>
      <c r="AL16" s="1261"/>
      <c r="AM16" s="1261"/>
      <c r="AN16" s="1261"/>
      <c r="AO16" s="1261"/>
      <c r="AP16" s="1261"/>
      <c r="AQ16" s="1261"/>
      <c r="AR16" s="1419">
        <v>0</v>
      </c>
    </row>
    <row s="1855" customFormat="1" customHeight="1" ht="17.25" hidden="1">
      <c r="A17" s="323"/>
      <c r="C17" s="322"/>
      <c r="D17" s="2138"/>
      <c r="E17" s="2146"/>
      <c r="F17" s="2149"/>
      <c r="G17" s="2146"/>
      <c r="H17" s="1301"/>
      <c r="I17" s="1302"/>
      <c r="J17" s="1302"/>
      <c r="K17" s="1302"/>
      <c r="L17" s="1302"/>
      <c r="M17" s="1302"/>
      <c r="N17" s="1302"/>
      <c r="O17" s="1302"/>
      <c r="P17" s="1302"/>
      <c r="Q17" s="1302"/>
      <c r="R17" s="1302"/>
      <c r="S17" s="1303"/>
      <c r="T17" s="1303"/>
      <c r="U17" s="1303"/>
      <c r="V17" s="1303"/>
      <c r="W17" s="1304"/>
      <c r="Y17" s="1261"/>
      <c r="Z17" s="1261"/>
      <c r="AA17" s="1261"/>
      <c r="AB17" s="1261"/>
      <c r="AC17" s="1261"/>
      <c r="AD17" s="1261"/>
      <c r="AE17" s="1261"/>
      <c r="AF17" s="1261"/>
      <c r="AG17" s="1261"/>
      <c r="AH17" s="1261"/>
      <c r="AI17" s="1261"/>
      <c r="AJ17" s="1261"/>
      <c r="AK17" s="1261"/>
      <c r="AL17" s="1261"/>
      <c r="AM17" s="1261"/>
      <c r="AN17" s="1261"/>
      <c r="AO17" s="1261"/>
      <c r="AP17" s="1261"/>
      <c r="AQ17" s="1261"/>
      <c r="AR17" s="752">
        <v>0</v>
      </c>
    </row>
    <row s="1855" customFormat="1" customHeight="1" ht="17.25" hidden="1">
      <c r="A18" s="323"/>
      <c r="C18" s="211"/>
      <c r="D18" s="2137">
        <v>2</v>
      </c>
      <c r="E18" s="2166"/>
      <c r="F18" s="2147" t="s">
        <v>19</v>
      </c>
      <c r="G18" s="2145"/>
      <c r="H18" s="2150"/>
      <c r="I18" s="2152"/>
      <c r="J18" s="2154"/>
      <c r="K18" s="2139"/>
      <c r="L18" s="2139"/>
      <c r="M18" s="2139"/>
      <c r="N18" s="2141"/>
      <c r="O18" s="2139"/>
      <c r="P18" s="2139"/>
      <c r="Q18" s="2139"/>
      <c r="R18" s="2144"/>
      <c r="S18" s="2139"/>
      <c r="T18" s="1422"/>
      <c r="U18" s="1422"/>
      <c r="V18" s="1421"/>
      <c r="W18" s="1298"/>
      <c r="X18" s="1269"/>
      <c r="Y18" s="1269"/>
      <c r="Z18" s="1269"/>
      <c r="AA18" s="1269"/>
      <c r="AB18" s="1269"/>
      <c r="AC18" s="1269" t="s">
        <v>162</v>
      </c>
      <c r="AD18" s="1269" t="s">
        <v>163</v>
      </c>
      <c r="AE18" s="1269" t="s">
        <v>164</v>
      </c>
      <c r="AF18" s="1269" t="s">
        <v>165</v>
      </c>
      <c r="AG18" s="1269" t="s">
        <v>166</v>
      </c>
      <c r="AH18" s="1269" t="str">
        <f>IF($E$18=0,"",$E$18)</f>
        <v/>
      </c>
      <c r="AI18" s="1269" t="str">
        <f>IF($G$18=0,"",$G$18)</f>
        <v/>
      </c>
      <c r="AJ18" s="1269" t="str">
        <f>IF($J$18=0,"",$J$18)</f>
        <v/>
      </c>
      <c r="AK18" s="1269" t="str">
        <f>IF($K$18="нет","без дифференциации",IF($N$18=0,"",$N$18))</f>
        <v/>
      </c>
      <c r="AL18" s="1269" t="str">
        <f>IF($O$18="нет","без дифференциации",IF($R$18=0,"",$R$18))</f>
        <v/>
      </c>
      <c r="AM18" s="1269" t="str">
        <f>IF($S$18="нет","без дифференциации",IF($V$18=0,"",$V$18))</f>
        <v/>
      </c>
      <c r="AN18" s="1774">
        <f>$I$18</f>
        <v>0</v>
      </c>
      <c r="AO18" s="1269" t="str">
        <f>$I$18&amp;"."&amp;$M$18</f>
        <v>.</v>
      </c>
      <c r="AP18" s="1261" t="str">
        <f>$I$18&amp;"."&amp;$M$18&amp;"."&amp;$Q$18</f>
        <v>..</v>
      </c>
      <c r="AQ18" s="1261" t="str">
        <f>$I$18&amp;"."&amp;$M$18&amp;"."&amp;$Q$18&amp;"."&amp;$U$18</f>
        <v>...</v>
      </c>
      <c r="AR18" s="1285">
        <v>0</v>
      </c>
    </row>
    <row s="1855" customFormat="1" customHeight="1" ht="17.25" hidden="1">
      <c r="A19" s="323"/>
      <c r="C19" s="322"/>
      <c r="D19" s="2137"/>
      <c r="E19" s="2166"/>
      <c r="F19" s="2148"/>
      <c r="G19" s="2145"/>
      <c r="H19" s="2151"/>
      <c r="I19" s="2153"/>
      <c r="J19" s="2155"/>
      <c r="K19" s="2140"/>
      <c r="L19" s="2140"/>
      <c r="M19" s="2140"/>
      <c r="N19" s="2142"/>
      <c r="O19" s="2140"/>
      <c r="P19" s="2140"/>
      <c r="Q19" s="2140"/>
      <c r="R19" s="2143"/>
      <c r="S19" s="2140"/>
      <c r="T19" s="1299"/>
      <c r="U19" s="1299"/>
      <c r="V19" s="1299"/>
      <c r="W19" s="1300"/>
      <c r="X19" s="1261"/>
      <c r="Y19" s="1261"/>
      <c r="Z19" s="1261"/>
      <c r="AA19" s="1261"/>
      <c r="AB19" s="1261"/>
      <c r="AC19" s="1261"/>
      <c r="AD19" s="1261"/>
      <c r="AE19" s="1261"/>
      <c r="AF19" s="1261"/>
      <c r="AG19" s="1261"/>
      <c r="AH19" s="1261"/>
      <c r="AI19" s="1261"/>
      <c r="AJ19" s="1261"/>
      <c r="AK19" s="1261"/>
      <c r="AL19" s="1261"/>
      <c r="AM19" s="1261"/>
      <c r="AN19" s="1261"/>
      <c r="AO19" s="1261"/>
      <c r="AP19" s="1261"/>
      <c r="AQ19" s="1261"/>
      <c r="AR19" s="1285">
        <v>0</v>
      </c>
    </row>
    <row s="1855" customFormat="1" customHeight="1" ht="17.25" hidden="1">
      <c r="A20" s="323"/>
      <c r="C20" s="322"/>
      <c r="D20" s="2138"/>
      <c r="E20" s="2167"/>
      <c r="F20" s="2148"/>
      <c r="G20" s="2146"/>
      <c r="H20" s="2151"/>
      <c r="I20" s="2153"/>
      <c r="J20" s="2156"/>
      <c r="K20" s="2140"/>
      <c r="L20" s="2140"/>
      <c r="M20" s="2140"/>
      <c r="N20" s="2143"/>
      <c r="O20" s="2140"/>
      <c r="P20" s="1420"/>
      <c r="Q20" s="1299"/>
      <c r="R20" s="1299"/>
      <c r="S20" s="331"/>
      <c r="T20" s="331"/>
      <c r="U20" s="331"/>
      <c r="V20" s="331"/>
      <c r="W20" s="1300"/>
      <c r="X20" s="1261"/>
      <c r="Y20" s="1261"/>
      <c r="Z20" s="1261"/>
      <c r="AA20" s="1261"/>
      <c r="AB20" s="1261"/>
      <c r="AC20" s="1261"/>
      <c r="AD20" s="1261"/>
      <c r="AE20" s="1261"/>
      <c r="AF20" s="1261"/>
      <c r="AG20" s="1261"/>
      <c r="AH20" s="1261"/>
      <c r="AI20" s="1261"/>
      <c r="AJ20" s="1261"/>
      <c r="AK20" s="1261"/>
      <c r="AL20" s="1261"/>
      <c r="AM20" s="1261"/>
      <c r="AN20" s="1261"/>
      <c r="AO20" s="1261"/>
      <c r="AP20" s="1261"/>
      <c r="AQ20" s="1261"/>
      <c r="AR20" s="1285">
        <v>0</v>
      </c>
    </row>
    <row s="1855" customFormat="1" customHeight="1" ht="17.25" hidden="1">
      <c r="A21" s="323"/>
      <c r="C21" s="322"/>
      <c r="D21" s="2138"/>
      <c r="E21" s="2167"/>
      <c r="F21" s="2148"/>
      <c r="G21" s="2146"/>
      <c r="H21" s="2151"/>
      <c r="I21" s="2153"/>
      <c r="J21" s="2156"/>
      <c r="K21" s="2140"/>
      <c r="L21" s="1299"/>
      <c r="M21" s="1299"/>
      <c r="N21" s="1299"/>
      <c r="O21" s="1299"/>
      <c r="P21" s="1299"/>
      <c r="Q21" s="1299"/>
      <c r="R21" s="1299"/>
      <c r="S21" s="331"/>
      <c r="T21" s="331"/>
      <c r="U21" s="331"/>
      <c r="V21" s="331"/>
      <c r="W21" s="1300"/>
      <c r="X21" s="1261"/>
      <c r="Y21" s="1261"/>
      <c r="Z21" s="1261"/>
      <c r="AA21" s="1261"/>
      <c r="AB21" s="1261"/>
      <c r="AC21" s="1261"/>
      <c r="AD21" s="1261"/>
      <c r="AE21" s="1261"/>
      <c r="AF21" s="1261"/>
      <c r="AG21" s="1261"/>
      <c r="AH21" s="1261"/>
      <c r="AI21" s="1261"/>
      <c r="AJ21" s="1261"/>
      <c r="AK21" s="1261"/>
      <c r="AL21" s="1261"/>
      <c r="AM21" s="1261"/>
      <c r="AN21" s="1261"/>
      <c r="AO21" s="1261"/>
      <c r="AP21" s="1261"/>
      <c r="AQ21" s="1261"/>
      <c r="AR21" s="1285">
        <v>0</v>
      </c>
    </row>
    <row s="1855" customFormat="1" customHeight="1" ht="17.25" hidden="1">
      <c r="A22" s="323"/>
      <c r="C22" s="322"/>
      <c r="D22" s="2138"/>
      <c r="E22" s="2167"/>
      <c r="F22" s="2149"/>
      <c r="G22" s="2146"/>
      <c r="H22" s="1301"/>
      <c r="I22" s="1302"/>
      <c r="J22" s="1302"/>
      <c r="K22" s="1302"/>
      <c r="L22" s="1302"/>
      <c r="M22" s="1302"/>
      <c r="N22" s="1302"/>
      <c r="O22" s="1302"/>
      <c r="P22" s="1302"/>
      <c r="Q22" s="1302"/>
      <c r="R22" s="1302"/>
      <c r="S22" s="1303"/>
      <c r="T22" s="1303"/>
      <c r="U22" s="1303"/>
      <c r="V22" s="1303"/>
      <c r="W22" s="1304"/>
      <c r="X22" s="1261"/>
      <c r="Y22" s="1261"/>
      <c r="Z22" s="1261"/>
      <c r="AA22" s="1261"/>
      <c r="AB22" s="1261"/>
      <c r="AC22" s="1261"/>
      <c r="AD22" s="1261"/>
      <c r="AE22" s="1261"/>
      <c r="AF22" s="1261"/>
      <c r="AG22" s="1261"/>
      <c r="AH22" s="1261"/>
      <c r="AI22" s="1261"/>
      <c r="AJ22" s="1261"/>
      <c r="AK22" s="1261"/>
      <c r="AL22" s="1261"/>
      <c r="AM22" s="1261"/>
      <c r="AN22" s="1261"/>
      <c r="AO22" s="1261"/>
      <c r="AP22" s="1261"/>
      <c r="AQ22" s="1261"/>
      <c r="AR22" s="1285">
        <v>0</v>
      </c>
    </row>
    <row s="1855" customFormat="1" customHeight="1" ht="17.25" hidden="1">
      <c r="A23" s="323"/>
      <c r="C23" s="211"/>
      <c r="D23" s="2137">
        <v>2</v>
      </c>
      <c r="E23" s="2145" t="s">
        <v>167</v>
      </c>
      <c r="F23" s="2147" t="s">
        <v>19</v>
      </c>
      <c r="G23" s="2145"/>
      <c r="H23" s="2150"/>
      <c r="I23" s="2152"/>
      <c r="J23" s="2154"/>
      <c r="K23" s="2139"/>
      <c r="L23" s="2139"/>
      <c r="M23" s="2139"/>
      <c r="N23" s="2141"/>
      <c r="O23" s="2139"/>
      <c r="P23" s="2139"/>
      <c r="Q23" s="2139"/>
      <c r="R23" s="2144"/>
      <c r="S23" s="2139"/>
      <c r="T23" s="2000"/>
      <c r="U23" s="2000"/>
      <c r="V23" s="2002"/>
      <c r="W23" s="1298"/>
      <c r="X23" s="1269"/>
      <c r="Y23" s="1269"/>
      <c r="Z23" s="1269"/>
      <c r="AA23" s="1269"/>
      <c r="AB23" s="1269"/>
      <c r="AC23" s="1269" t="s">
        <v>162</v>
      </c>
      <c r="AD23" s="1269" t="s">
        <v>163</v>
      </c>
      <c r="AE23" s="1269" t="s">
        <v>164</v>
      </c>
      <c r="AF23" s="1269" t="s">
        <v>165</v>
      </c>
      <c r="AG23" s="1269" t="s">
        <v>166</v>
      </c>
      <c r="AH23" s="1269"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9" t="str">
        <f>IF($G$23=0,"",$G$23)</f>
        <v/>
      </c>
      <c r="AJ23" s="1269" t="str">
        <f>IF($J$23=0,"",$J$23)</f>
        <v/>
      </c>
      <c r="AK23" s="1269" t="str">
        <f>IF($K$23="нет","без дифференциации",IF($N$23=0,"",$N$23))</f>
        <v/>
      </c>
      <c r="AL23" s="1269" t="str">
        <f>IF($O$23="нет","без дифференциации",IF($R$23=0,"",$R$23))</f>
        <v/>
      </c>
      <c r="AM23" s="1269" t="str">
        <f>IF($S$23="нет","без дифференциации",IF($V$23=0,"",$V$23))</f>
        <v/>
      </c>
      <c r="AN23" s="1774">
        <f>$I$23</f>
        <v>0</v>
      </c>
      <c r="AO23" s="1269" t="str">
        <f>$I$23&amp;"."&amp;$M$23</f>
        <v>.</v>
      </c>
      <c r="AP23" s="1268" t="str">
        <f>$I$23&amp;"."&amp;$M$23&amp;"."&amp;$Q$23</f>
        <v>..</v>
      </c>
      <c r="AQ23" s="1268" t="str">
        <f>$I$23&amp;"."&amp;$M$23&amp;"."&amp;$Q$23&amp;"."&amp;$U$23</f>
        <v>...</v>
      </c>
      <c r="AR23" s="1469">
        <v>0</v>
      </c>
    </row>
    <row s="1855" customFormat="1" customHeight="1" ht="17.25" hidden="1">
      <c r="A24" s="323"/>
      <c r="C24" s="322"/>
      <c r="D24" s="2137"/>
      <c r="E24" s="2145"/>
      <c r="F24" s="2148"/>
      <c r="G24" s="2145"/>
      <c r="H24" s="2151"/>
      <c r="I24" s="2153"/>
      <c r="J24" s="2155"/>
      <c r="K24" s="2140"/>
      <c r="L24" s="2140"/>
      <c r="M24" s="2140"/>
      <c r="N24" s="2142"/>
      <c r="O24" s="2140"/>
      <c r="P24" s="2140"/>
      <c r="Q24" s="2140"/>
      <c r="R24" s="2143"/>
      <c r="S24" s="2140"/>
      <c r="T24" s="2005"/>
      <c r="U24" s="2005"/>
      <c r="V24" s="2005"/>
      <c r="W24" s="2006"/>
      <c r="X24" s="1268"/>
      <c r="Y24" s="1268"/>
      <c r="Z24" s="1268"/>
      <c r="AA24" s="1268"/>
      <c r="AB24" s="1268"/>
      <c r="AC24" s="1268"/>
      <c r="AD24" s="1268"/>
      <c r="AE24" s="1268"/>
      <c r="AF24" s="1268"/>
      <c r="AG24" s="1268"/>
      <c r="AH24" s="1268"/>
      <c r="AI24" s="1268"/>
      <c r="AJ24" s="1268"/>
      <c r="AK24" s="1268"/>
      <c r="AL24" s="1268"/>
      <c r="AM24" s="1268"/>
      <c r="AN24" s="1268"/>
      <c r="AO24" s="1268"/>
      <c r="AP24" s="1268"/>
      <c r="AQ24" s="1268"/>
      <c r="AR24" s="1469">
        <v>0</v>
      </c>
    </row>
    <row s="1855" customFormat="1" customHeight="1" ht="17.25" hidden="1">
      <c r="A25" s="323"/>
      <c r="C25" s="322"/>
      <c r="D25" s="2138"/>
      <c r="E25" s="2146"/>
      <c r="F25" s="2148"/>
      <c r="G25" s="2146"/>
      <c r="H25" s="2151"/>
      <c r="I25" s="2153"/>
      <c r="J25" s="2156"/>
      <c r="K25" s="2140"/>
      <c r="L25" s="2140"/>
      <c r="M25" s="2140"/>
      <c r="N25" s="2143"/>
      <c r="O25" s="2140"/>
      <c r="P25" s="2001"/>
      <c r="Q25" s="2005"/>
      <c r="R25" s="2005"/>
      <c r="S25" s="331"/>
      <c r="T25" s="331"/>
      <c r="U25" s="331"/>
      <c r="V25" s="331"/>
      <c r="W25" s="2006"/>
      <c r="X25" s="1268"/>
      <c r="Y25" s="1268"/>
      <c r="Z25" s="1268"/>
      <c r="AA25" s="1268"/>
      <c r="AB25" s="1268"/>
      <c r="AC25" s="1268"/>
      <c r="AD25" s="1268"/>
      <c r="AE25" s="1268"/>
      <c r="AF25" s="1268"/>
      <c r="AG25" s="1268"/>
      <c r="AH25" s="1268"/>
      <c r="AI25" s="1268"/>
      <c r="AJ25" s="1268"/>
      <c r="AK25" s="1268"/>
      <c r="AL25" s="1268"/>
      <c r="AM25" s="1268"/>
      <c r="AN25" s="1268"/>
      <c r="AO25" s="1268"/>
      <c r="AP25" s="1268"/>
      <c r="AQ25" s="1268"/>
      <c r="AR25" s="1469">
        <v>0</v>
      </c>
    </row>
    <row s="1855" customFormat="1" customHeight="1" ht="17.25" hidden="1">
      <c r="A26" s="323"/>
      <c r="C26" s="322"/>
      <c r="D26" s="2138"/>
      <c r="E26" s="2146"/>
      <c r="F26" s="2148"/>
      <c r="G26" s="2146"/>
      <c r="H26" s="2151"/>
      <c r="I26" s="2153"/>
      <c r="J26" s="2156"/>
      <c r="K26" s="2140"/>
      <c r="L26" s="2005"/>
      <c r="M26" s="2005"/>
      <c r="N26" s="2005"/>
      <c r="O26" s="2005"/>
      <c r="P26" s="2005"/>
      <c r="Q26" s="2005"/>
      <c r="R26" s="2005"/>
      <c r="S26" s="331"/>
      <c r="T26" s="331"/>
      <c r="U26" s="331"/>
      <c r="V26" s="331"/>
      <c r="W26" s="2006"/>
      <c r="X26" s="1268"/>
      <c r="Y26" s="1268"/>
      <c r="Z26" s="1268"/>
      <c r="AA26" s="1268"/>
      <c r="AB26" s="1268"/>
      <c r="AC26" s="1268"/>
      <c r="AD26" s="1268"/>
      <c r="AE26" s="1268"/>
      <c r="AF26" s="1268"/>
      <c r="AG26" s="1268"/>
      <c r="AH26" s="1268"/>
      <c r="AI26" s="1268"/>
      <c r="AJ26" s="1268"/>
      <c r="AK26" s="1268"/>
      <c r="AL26" s="1268"/>
      <c r="AM26" s="1268"/>
      <c r="AN26" s="1268"/>
      <c r="AO26" s="1268"/>
      <c r="AP26" s="1268"/>
      <c r="AQ26" s="1268"/>
      <c r="AR26" s="1469">
        <v>0</v>
      </c>
    </row>
    <row s="1855" customFormat="1" customHeight="1" ht="17.25" hidden="1">
      <c r="A27" s="323"/>
      <c r="C27" s="322"/>
      <c r="D27" s="2138"/>
      <c r="E27" s="2146"/>
      <c r="F27" s="2149"/>
      <c r="G27" s="2146"/>
      <c r="H27" s="1301"/>
      <c r="I27" s="2003"/>
      <c r="J27" s="2003"/>
      <c r="K27" s="2003"/>
      <c r="L27" s="2003"/>
      <c r="M27" s="2003"/>
      <c r="N27" s="2003"/>
      <c r="O27" s="2003"/>
      <c r="P27" s="2003"/>
      <c r="Q27" s="2003"/>
      <c r="R27" s="2003"/>
      <c r="S27" s="1303"/>
      <c r="T27" s="1303"/>
      <c r="U27" s="1303"/>
      <c r="V27" s="1303"/>
      <c r="W27" s="2004"/>
      <c r="X27" s="1268"/>
      <c r="Y27" s="1268"/>
      <c r="Z27" s="1268"/>
      <c r="AA27" s="1268"/>
      <c r="AB27" s="1268"/>
      <c r="AC27" s="1268"/>
      <c r="AD27" s="1268"/>
      <c r="AE27" s="1268"/>
      <c r="AF27" s="1268"/>
      <c r="AG27" s="1268"/>
      <c r="AH27" s="1268"/>
      <c r="AI27" s="1268"/>
      <c r="AJ27" s="1268"/>
      <c r="AK27" s="1268"/>
      <c r="AL27" s="1268"/>
      <c r="AM27" s="1268"/>
      <c r="AN27" s="1268"/>
      <c r="AO27" s="1268"/>
      <c r="AP27" s="1268"/>
      <c r="AQ27" s="1268"/>
      <c r="AR27" s="1469">
        <v>0</v>
      </c>
    </row>
    <row s="1855" customFormat="1" customHeight="1" ht="17.25" hidden="1">
      <c r="A28" s="323"/>
      <c r="C28" s="211"/>
      <c r="D28" s="2137">
        <v>3</v>
      </c>
      <c r="E28" s="2145" t="s">
        <v>168</v>
      </c>
      <c r="F28" s="2147" t="s">
        <v>19</v>
      </c>
      <c r="G28" s="2145"/>
      <c r="H28" s="2150"/>
      <c r="I28" s="2152"/>
      <c r="J28" s="2154"/>
      <c r="K28" s="2139"/>
      <c r="L28" s="2139"/>
      <c r="M28" s="2139"/>
      <c r="N28" s="2141"/>
      <c r="O28" s="2139"/>
      <c r="P28" s="2139"/>
      <c r="Q28" s="2139"/>
      <c r="R28" s="2144"/>
      <c r="S28" s="2139"/>
      <c r="T28" s="1422"/>
      <c r="U28" s="1422"/>
      <c r="V28" s="1421"/>
      <c r="W28" s="1298"/>
      <c r="X28" s="1269"/>
      <c r="Y28" s="1269"/>
      <c r="Z28" s="1269"/>
      <c r="AA28" s="1269"/>
      <c r="AB28" s="1269"/>
      <c r="AC28" s="1269" t="s">
        <v>169</v>
      </c>
      <c r="AD28" s="1269" t="s">
        <v>170</v>
      </c>
      <c r="AE28" s="1269" t="s">
        <v>171</v>
      </c>
      <c r="AF28" s="1269" t="s">
        <v>172</v>
      </c>
      <c r="AG28" s="1269" t="s">
        <v>173</v>
      </c>
      <c r="AH28" s="1269" t="str">
        <f>IF($E$28=0,"",$E$28)</f>
        <v>Тарифы на теплоноситель, поставляемый теплоснабжающими организациями потребителям, другим теплоснабжающим организациям</v>
      </c>
      <c r="AI28" s="1269" t="str">
        <f>IF($G$28=0,"",$G$28)</f>
        <v/>
      </c>
      <c r="AJ28" s="1269" t="str">
        <f>IF($J$28=0,"",$J$28)</f>
        <v/>
      </c>
      <c r="AK28" s="1269" t="str">
        <f>IF($K$28="нет","без дифференциации",IF($N$28=0,"",$N$28))</f>
        <v/>
      </c>
      <c r="AL28" s="1269" t="str">
        <f>IF($O$28="нет","без дифференциации",IF($R$28=0,"",$R$28))</f>
        <v/>
      </c>
      <c r="AM28" s="1269" t="str">
        <f>IF($S$28="нет","без дифференциации",IF($V$28=0,"",$V$28))</f>
        <v/>
      </c>
      <c r="AN28" s="1774">
        <f>$I$28</f>
        <v>0</v>
      </c>
      <c r="AO28" s="1269" t="str">
        <f>$I$28&amp;"."&amp;$M$28</f>
        <v>.</v>
      </c>
      <c r="AP28" s="1261" t="str">
        <f>$I$28&amp;"."&amp;$M$28&amp;"."&amp;$Q$28</f>
        <v>..</v>
      </c>
      <c r="AQ28" s="1261" t="str">
        <f>$I$28&amp;"."&amp;$M$28&amp;"."&amp;$Q$28&amp;"."&amp;$U$28</f>
        <v>...</v>
      </c>
      <c r="AR28" s="1285">
        <v>0</v>
      </c>
    </row>
    <row s="1855" customFormat="1" customHeight="1" ht="17.25" hidden="1">
      <c r="A29" s="323"/>
      <c r="C29" s="322"/>
      <c r="D29" s="2137"/>
      <c r="E29" s="2145"/>
      <c r="F29" s="2148"/>
      <c r="G29" s="2145"/>
      <c r="H29" s="2151"/>
      <c r="I29" s="2153"/>
      <c r="J29" s="2155"/>
      <c r="K29" s="2140"/>
      <c r="L29" s="2140"/>
      <c r="M29" s="2140"/>
      <c r="N29" s="2142"/>
      <c r="O29" s="2140"/>
      <c r="P29" s="2140"/>
      <c r="Q29" s="2140"/>
      <c r="R29" s="2143"/>
      <c r="S29" s="2140"/>
      <c r="T29" s="1299"/>
      <c r="U29" s="1299"/>
      <c r="V29" s="1299"/>
      <c r="W29" s="1300"/>
      <c r="X29" s="1261"/>
      <c r="Y29" s="1261"/>
      <c r="Z29" s="1261"/>
      <c r="AA29" s="1261"/>
      <c r="AB29" s="1261"/>
      <c r="AC29" s="1261"/>
      <c r="AD29" s="1261"/>
      <c r="AE29" s="1261"/>
      <c r="AF29" s="1261"/>
      <c r="AG29" s="1261"/>
      <c r="AH29" s="1261"/>
      <c r="AI29" s="1261"/>
      <c r="AJ29" s="1261"/>
      <c r="AK29" s="1261"/>
      <c r="AL29" s="1261"/>
      <c r="AM29" s="1261"/>
      <c r="AN29" s="1261"/>
      <c r="AO29" s="1261"/>
      <c r="AP29" s="1261"/>
      <c r="AQ29" s="1261"/>
      <c r="AR29" s="1285">
        <v>0</v>
      </c>
    </row>
    <row s="1855" customFormat="1" customHeight="1" ht="17.25" hidden="1">
      <c r="A30" s="323"/>
      <c r="C30" s="322"/>
      <c r="D30" s="2138"/>
      <c r="E30" s="2146"/>
      <c r="F30" s="2148"/>
      <c r="G30" s="2146"/>
      <c r="H30" s="2151"/>
      <c r="I30" s="2153"/>
      <c r="J30" s="2156"/>
      <c r="K30" s="2140"/>
      <c r="L30" s="2140"/>
      <c r="M30" s="2140"/>
      <c r="N30" s="2143"/>
      <c r="O30" s="2140"/>
      <c r="P30" s="1420"/>
      <c r="Q30" s="1299"/>
      <c r="R30" s="1299"/>
      <c r="S30" s="331"/>
      <c r="T30" s="331"/>
      <c r="U30" s="331"/>
      <c r="V30" s="331"/>
      <c r="W30" s="1300"/>
      <c r="X30" s="1261"/>
      <c r="Y30" s="1261"/>
      <c r="Z30" s="1261"/>
      <c r="AA30" s="1261"/>
      <c r="AB30" s="1261"/>
      <c r="AC30" s="1261"/>
      <c r="AD30" s="1261"/>
      <c r="AE30" s="1261"/>
      <c r="AF30" s="1261"/>
      <c r="AG30" s="1261"/>
      <c r="AH30" s="1261"/>
      <c r="AI30" s="1261"/>
      <c r="AJ30" s="1261"/>
      <c r="AK30" s="1261"/>
      <c r="AL30" s="1261"/>
      <c r="AM30" s="1261"/>
      <c r="AN30" s="1261"/>
      <c r="AO30" s="1261"/>
      <c r="AP30" s="1261"/>
      <c r="AQ30" s="1261"/>
      <c r="AR30" s="1285">
        <v>0</v>
      </c>
    </row>
    <row s="1855" customFormat="1" customHeight="1" ht="17.25" hidden="1">
      <c r="A31" s="323"/>
      <c r="C31" s="322"/>
      <c r="D31" s="2138"/>
      <c r="E31" s="2146"/>
      <c r="F31" s="2148"/>
      <c r="G31" s="2146"/>
      <c r="H31" s="2151"/>
      <c r="I31" s="2153"/>
      <c r="J31" s="2156"/>
      <c r="K31" s="2140"/>
      <c r="L31" s="1299"/>
      <c r="M31" s="1299"/>
      <c r="N31" s="1299"/>
      <c r="O31" s="1299"/>
      <c r="P31" s="1299"/>
      <c r="Q31" s="1299"/>
      <c r="R31" s="1299"/>
      <c r="S31" s="331"/>
      <c r="T31" s="331"/>
      <c r="U31" s="331"/>
      <c r="V31" s="331"/>
      <c r="W31" s="1300"/>
      <c r="X31" s="1261"/>
      <c r="Y31" s="1261"/>
      <c r="Z31" s="1261"/>
      <c r="AA31" s="1261"/>
      <c r="AB31" s="1261"/>
      <c r="AC31" s="1261"/>
      <c r="AD31" s="1261"/>
      <c r="AE31" s="1261"/>
      <c r="AF31" s="1261"/>
      <c r="AG31" s="1261"/>
      <c r="AH31" s="1261"/>
      <c r="AI31" s="1261"/>
      <c r="AJ31" s="1261"/>
      <c r="AK31" s="1261"/>
      <c r="AL31" s="1261"/>
      <c r="AM31" s="1261"/>
      <c r="AN31" s="1261"/>
      <c r="AO31" s="1261"/>
      <c r="AP31" s="1261"/>
      <c r="AQ31" s="1261"/>
      <c r="AR31" s="1285">
        <v>0</v>
      </c>
    </row>
    <row s="1855" customFormat="1" customHeight="1" ht="17.25" hidden="1">
      <c r="A32" s="323"/>
      <c r="C32" s="322"/>
      <c r="D32" s="2138"/>
      <c r="E32" s="2146"/>
      <c r="F32" s="2149"/>
      <c r="G32" s="2146"/>
      <c r="H32" s="1301"/>
      <c r="I32" s="1302"/>
      <c r="J32" s="1302"/>
      <c r="K32" s="1302"/>
      <c r="L32" s="1302"/>
      <c r="M32" s="1302"/>
      <c r="N32" s="1302"/>
      <c r="O32" s="1302"/>
      <c r="P32" s="1302"/>
      <c r="Q32" s="1302"/>
      <c r="R32" s="1302"/>
      <c r="S32" s="1303"/>
      <c r="T32" s="1303"/>
      <c r="U32" s="1303"/>
      <c r="V32" s="1303"/>
      <c r="W32" s="1304"/>
      <c r="X32" s="1261"/>
      <c r="Y32" s="1261"/>
      <c r="Z32" s="1261"/>
      <c r="AA32" s="1261"/>
      <c r="AB32" s="1261"/>
      <c r="AC32" s="1261"/>
      <c r="AD32" s="1261"/>
      <c r="AE32" s="1261"/>
      <c r="AF32" s="1261"/>
      <c r="AG32" s="1261"/>
      <c r="AH32" s="1261"/>
      <c r="AI32" s="1261"/>
      <c r="AJ32" s="1261"/>
      <c r="AK32" s="1261"/>
      <c r="AL32" s="1261"/>
      <c r="AM32" s="1261"/>
      <c r="AN32" s="1261"/>
      <c r="AO32" s="1261"/>
      <c r="AP32" s="1261"/>
      <c r="AQ32" s="1261"/>
      <c r="AR32" s="1285">
        <v>0</v>
      </c>
    </row>
    <row s="1855" customFormat="1" customHeight="1" ht="17.25" hidden="1">
      <c r="A33" s="323"/>
      <c r="C33" s="211"/>
      <c r="D33" s="2137">
        <v>4</v>
      </c>
      <c r="E33" s="2145" t="s">
        <v>174</v>
      </c>
      <c r="F33" s="2147" t="s">
        <v>19</v>
      </c>
      <c r="G33" s="2145"/>
      <c r="H33" s="2150"/>
      <c r="I33" s="2152"/>
      <c r="J33" s="2154"/>
      <c r="K33" s="2139"/>
      <c r="L33" s="2139"/>
      <c r="M33" s="2139"/>
      <c r="N33" s="2141"/>
      <c r="O33" s="2139"/>
      <c r="P33" s="2139"/>
      <c r="Q33" s="2139"/>
      <c r="R33" s="2144"/>
      <c r="S33" s="2139"/>
      <c r="T33" s="1422"/>
      <c r="U33" s="1422"/>
      <c r="V33" s="1421"/>
      <c r="W33" s="1298"/>
      <c r="X33" s="1269"/>
      <c r="Y33" s="1269"/>
      <c r="Z33" s="1269"/>
      <c r="AA33" s="1269"/>
      <c r="AB33" s="1269"/>
      <c r="AC33" s="1269" t="s">
        <v>175</v>
      </c>
      <c r="AD33" s="1269" t="s">
        <v>176</v>
      </c>
      <c r="AE33" s="1269" t="s">
        <v>177</v>
      </c>
      <c r="AF33" s="1269" t="s">
        <v>178</v>
      </c>
      <c r="AG33" s="1269" t="s">
        <v>179</v>
      </c>
      <c r="AH33" s="1269"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9" t="str">
        <f>IF($G$33=0,"",$G$33)</f>
        <v/>
      </c>
      <c r="AJ33" s="1269" t="str">
        <f>IF($J$33=0,"",$J$33)</f>
        <v/>
      </c>
      <c r="AK33" s="1269" t="str">
        <f>IF($K$33="нет","без дифференциации",IF($N$33=0,"",$N$33))</f>
        <v/>
      </c>
      <c r="AL33" s="1269" t="str">
        <f>IF($O$33="нет","без дифференциации",IF($R$33=0,"",$R$33))</f>
        <v/>
      </c>
      <c r="AM33" s="1269" t="str">
        <f>IF($S$33="нет","без дифференциации",IF($V$33=0,"",$V$33))</f>
        <v/>
      </c>
      <c r="AN33" s="1774">
        <f>$I$33</f>
        <v>0</v>
      </c>
      <c r="AO33" s="1269" t="str">
        <f>$I$33&amp;"."&amp;$M$33</f>
        <v>.</v>
      </c>
      <c r="AP33" s="1261" t="str">
        <f>$I$33&amp;"."&amp;$M$33&amp;"."&amp;$Q$33</f>
        <v>..</v>
      </c>
      <c r="AQ33" s="1261" t="str">
        <f>$I$33&amp;"."&amp;$M$33&amp;"."&amp;$Q$33&amp;"."&amp;$U$33</f>
        <v>...</v>
      </c>
      <c r="AR33" s="1285">
        <v>0</v>
      </c>
    </row>
    <row s="1855" customFormat="1" customHeight="1" ht="17.25" hidden="1">
      <c r="A34" s="323"/>
      <c r="C34" s="322"/>
      <c r="D34" s="2137"/>
      <c r="E34" s="2145"/>
      <c r="F34" s="2148"/>
      <c r="G34" s="2145"/>
      <c r="H34" s="2151"/>
      <c r="I34" s="2153"/>
      <c r="J34" s="2155"/>
      <c r="K34" s="2140"/>
      <c r="L34" s="2140"/>
      <c r="M34" s="2140"/>
      <c r="N34" s="2142"/>
      <c r="O34" s="2140"/>
      <c r="P34" s="2140"/>
      <c r="Q34" s="2140"/>
      <c r="R34" s="2143"/>
      <c r="S34" s="2140"/>
      <c r="T34" s="1299"/>
      <c r="U34" s="1299"/>
      <c r="V34" s="1299"/>
      <c r="W34" s="1300"/>
      <c r="X34" s="1261"/>
      <c r="Y34" s="1261"/>
      <c r="Z34" s="1261"/>
      <c r="AA34" s="1261"/>
      <c r="AB34" s="1261"/>
      <c r="AC34" s="1261"/>
      <c r="AD34" s="1261"/>
      <c r="AE34" s="1261"/>
      <c r="AF34" s="1261"/>
      <c r="AG34" s="1261"/>
      <c r="AH34" s="1261"/>
      <c r="AI34" s="1261"/>
      <c r="AJ34" s="1261"/>
      <c r="AK34" s="1261"/>
      <c r="AL34" s="1261"/>
      <c r="AM34" s="1261"/>
      <c r="AN34" s="1261"/>
      <c r="AO34" s="1261"/>
      <c r="AP34" s="1261"/>
      <c r="AQ34" s="1261"/>
      <c r="AR34" s="1285">
        <v>0</v>
      </c>
    </row>
    <row s="1855" customFormat="1" customHeight="1" ht="17.25" hidden="1">
      <c r="A35" s="323"/>
      <c r="C35" s="322"/>
      <c r="D35" s="2138"/>
      <c r="E35" s="2146"/>
      <c r="F35" s="2148"/>
      <c r="G35" s="2146"/>
      <c r="H35" s="2151"/>
      <c r="I35" s="2153"/>
      <c r="J35" s="2156"/>
      <c r="K35" s="2140"/>
      <c r="L35" s="2140"/>
      <c r="M35" s="2140"/>
      <c r="N35" s="2143"/>
      <c r="O35" s="2140"/>
      <c r="P35" s="1420"/>
      <c r="Q35" s="1299"/>
      <c r="R35" s="1299"/>
      <c r="S35" s="331"/>
      <c r="T35" s="331"/>
      <c r="U35" s="331"/>
      <c r="V35" s="331"/>
      <c r="W35" s="1300"/>
      <c r="X35" s="1261"/>
      <c r="Y35" s="1261"/>
      <c r="Z35" s="1261"/>
      <c r="AA35" s="1261"/>
      <c r="AB35" s="1261"/>
      <c r="AC35" s="1261"/>
      <c r="AD35" s="1261"/>
      <c r="AE35" s="1261"/>
      <c r="AF35" s="1261"/>
      <c r="AG35" s="1261"/>
      <c r="AH35" s="1261"/>
      <c r="AI35" s="1261"/>
      <c r="AJ35" s="1261"/>
      <c r="AK35" s="1261"/>
      <c r="AL35" s="1261"/>
      <c r="AM35" s="1261"/>
      <c r="AN35" s="1261"/>
      <c r="AO35" s="1261"/>
      <c r="AP35" s="1261"/>
      <c r="AQ35" s="1261"/>
      <c r="AR35" s="1285">
        <v>0</v>
      </c>
    </row>
    <row s="1855" customFormat="1" customHeight="1" ht="17.25" hidden="1">
      <c r="A36" s="323"/>
      <c r="C36" s="322"/>
      <c r="D36" s="2138"/>
      <c r="E36" s="2146"/>
      <c r="F36" s="2148"/>
      <c r="G36" s="2146"/>
      <c r="H36" s="2151"/>
      <c r="I36" s="2153"/>
      <c r="J36" s="2156"/>
      <c r="K36" s="2140"/>
      <c r="L36" s="1299"/>
      <c r="M36" s="1299"/>
      <c r="N36" s="1299"/>
      <c r="O36" s="1299"/>
      <c r="P36" s="1299"/>
      <c r="Q36" s="1299"/>
      <c r="R36" s="1299"/>
      <c r="S36" s="331"/>
      <c r="T36" s="331"/>
      <c r="U36" s="331"/>
      <c r="V36" s="331"/>
      <c r="W36" s="1300"/>
      <c r="X36" s="1261"/>
      <c r="Y36" s="1261"/>
      <c r="Z36" s="1261"/>
      <c r="AA36" s="1261"/>
      <c r="AB36" s="1261"/>
      <c r="AC36" s="1261"/>
      <c r="AD36" s="1261"/>
      <c r="AE36" s="1261"/>
      <c r="AF36" s="1261"/>
      <c r="AG36" s="1261"/>
      <c r="AH36" s="1261"/>
      <c r="AI36" s="1261"/>
      <c r="AJ36" s="1261"/>
      <c r="AK36" s="1261"/>
      <c r="AL36" s="1261"/>
      <c r="AM36" s="1261"/>
      <c r="AN36" s="1261"/>
      <c r="AO36" s="1261"/>
      <c r="AP36" s="1261"/>
      <c r="AQ36" s="1261"/>
      <c r="AR36" s="1285">
        <v>0</v>
      </c>
    </row>
    <row s="1855" customFormat="1" customHeight="1" ht="17.25" hidden="1">
      <c r="A37" s="323"/>
      <c r="C37" s="322"/>
      <c r="D37" s="2138"/>
      <c r="E37" s="2146"/>
      <c r="F37" s="2149"/>
      <c r="G37" s="2146"/>
      <c r="H37" s="1301"/>
      <c r="I37" s="1302"/>
      <c r="J37" s="1302"/>
      <c r="K37" s="1302"/>
      <c r="L37" s="1302"/>
      <c r="M37" s="1302"/>
      <c r="N37" s="1302"/>
      <c r="O37" s="1302"/>
      <c r="P37" s="1302"/>
      <c r="Q37" s="1302"/>
      <c r="R37" s="1302"/>
      <c r="S37" s="1303"/>
      <c r="T37" s="1303"/>
      <c r="U37" s="1303"/>
      <c r="V37" s="1303"/>
      <c r="W37" s="1304"/>
      <c r="X37" s="1261"/>
      <c r="Y37" s="1261"/>
      <c r="Z37" s="1261"/>
      <c r="AA37" s="1261"/>
      <c r="AB37" s="1261"/>
      <c r="AC37" s="1261"/>
      <c r="AD37" s="1261"/>
      <c r="AE37" s="1261"/>
      <c r="AF37" s="1261"/>
      <c r="AG37" s="1261"/>
      <c r="AH37" s="1261"/>
      <c r="AI37" s="1261"/>
      <c r="AJ37" s="1261"/>
      <c r="AK37" s="1261"/>
      <c r="AL37" s="1261"/>
      <c r="AM37" s="1261"/>
      <c r="AN37" s="1261"/>
      <c r="AO37" s="1261"/>
      <c r="AP37" s="1261"/>
      <c r="AQ37" s="1261"/>
      <c r="AR37" s="1285">
        <v>0</v>
      </c>
    </row>
    <row s="1855" customFormat="1" customHeight="1" ht="17.25" hidden="1">
      <c r="A38" s="323"/>
      <c r="C38" s="211"/>
      <c r="D38" s="2137">
        <v>5</v>
      </c>
      <c r="E38" s="2145" t="s">
        <v>180</v>
      </c>
      <c r="F38" s="2147" t="s">
        <v>19</v>
      </c>
      <c r="G38" s="2145"/>
      <c r="H38" s="2150"/>
      <c r="I38" s="2152"/>
      <c r="J38" s="2154"/>
      <c r="K38" s="2139"/>
      <c r="L38" s="2139"/>
      <c r="M38" s="2139"/>
      <c r="N38" s="2141"/>
      <c r="O38" s="2139"/>
      <c r="P38" s="2139"/>
      <c r="Q38" s="2139"/>
      <c r="R38" s="2144"/>
      <c r="S38" s="2139"/>
      <c r="T38" s="1422"/>
      <c r="U38" s="1422"/>
      <c r="V38" s="1421"/>
      <c r="W38" s="1298"/>
      <c r="X38" s="1269"/>
      <c r="Y38" s="1269"/>
      <c r="Z38" s="1269"/>
      <c r="AA38" s="1269"/>
      <c r="AB38" s="1269"/>
      <c r="AC38" s="1269" t="s">
        <v>181</v>
      </c>
      <c r="AD38" s="1269" t="s">
        <v>182</v>
      </c>
      <c r="AE38" s="1269" t="s">
        <v>183</v>
      </c>
      <c r="AF38" s="1269" t="s">
        <v>184</v>
      </c>
      <c r="AG38" s="1269" t="s">
        <v>185</v>
      </c>
      <c r="AH38" s="1269" t="str">
        <f>IF($E$38=0,"",$E$38)</f>
        <v>Тарифы на услуги по передаче тепловой энергии</v>
      </c>
      <c r="AI38" s="1269" t="str">
        <f>IF($G$38=0,"",$G$38)</f>
        <v/>
      </c>
      <c r="AJ38" s="1269" t="str">
        <f>IF($J$38=0,"",$J$38)</f>
        <v/>
      </c>
      <c r="AK38" s="1269" t="str">
        <f>IF($K$38="нет","без дифференциации",IF($N$38=0,"",$N$38))</f>
        <v/>
      </c>
      <c r="AL38" s="1269" t="str">
        <f>IF($O$38="нет","без дифференциации",IF($R$38=0,"",$R$38))</f>
        <v/>
      </c>
      <c r="AM38" s="1269" t="str">
        <f>IF($S$38="нет","без дифференциации",IF($V$38=0,"",$V$38))</f>
        <v/>
      </c>
      <c r="AN38" s="1774">
        <f>$I$38</f>
        <v>0</v>
      </c>
      <c r="AO38" s="1269" t="str">
        <f>$I$38&amp;"."&amp;$M$38</f>
        <v>.</v>
      </c>
      <c r="AP38" s="1261" t="str">
        <f>$I$38&amp;"."&amp;$M$38&amp;"."&amp;$Q$38</f>
        <v>..</v>
      </c>
      <c r="AQ38" s="1261" t="str">
        <f>$I$38&amp;"."&amp;$M$38&amp;"."&amp;$Q$38&amp;"."&amp;$U$38</f>
        <v>...</v>
      </c>
      <c r="AR38" s="1285">
        <v>0</v>
      </c>
    </row>
    <row s="1855" customFormat="1" customHeight="1" ht="17.25" hidden="1">
      <c r="A39" s="323"/>
      <c r="C39" s="322"/>
      <c r="D39" s="2137"/>
      <c r="E39" s="2145"/>
      <c r="F39" s="2148"/>
      <c r="G39" s="2145"/>
      <c r="H39" s="2151"/>
      <c r="I39" s="2153"/>
      <c r="J39" s="2155"/>
      <c r="K39" s="2140"/>
      <c r="L39" s="2140"/>
      <c r="M39" s="2140"/>
      <c r="N39" s="2142"/>
      <c r="O39" s="2140"/>
      <c r="P39" s="2140"/>
      <c r="Q39" s="2140"/>
      <c r="R39" s="2143"/>
      <c r="S39" s="2140"/>
      <c r="T39" s="1299"/>
      <c r="U39" s="1299"/>
      <c r="V39" s="1299"/>
      <c r="W39" s="1300"/>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85">
        <v>0</v>
      </c>
    </row>
    <row s="1855" customFormat="1" customHeight="1" ht="17.25" hidden="1">
      <c r="A40" s="323"/>
      <c r="C40" s="322"/>
      <c r="D40" s="2138"/>
      <c r="E40" s="2146"/>
      <c r="F40" s="2148"/>
      <c r="G40" s="2146"/>
      <c r="H40" s="2151"/>
      <c r="I40" s="2153"/>
      <c r="J40" s="2156"/>
      <c r="K40" s="2140"/>
      <c r="L40" s="2140"/>
      <c r="M40" s="2140"/>
      <c r="N40" s="2143"/>
      <c r="O40" s="2140"/>
      <c r="P40" s="1420"/>
      <c r="Q40" s="1299"/>
      <c r="R40" s="1299"/>
      <c r="S40" s="331"/>
      <c r="T40" s="331"/>
      <c r="U40" s="331"/>
      <c r="V40" s="331"/>
      <c r="W40" s="1300"/>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85">
        <v>0</v>
      </c>
    </row>
    <row s="1855" customFormat="1" customHeight="1" ht="17.25" hidden="1">
      <c r="A41" s="323"/>
      <c r="C41" s="322"/>
      <c r="D41" s="2138"/>
      <c r="E41" s="2146"/>
      <c r="F41" s="2148"/>
      <c r="G41" s="2146"/>
      <c r="H41" s="2151"/>
      <c r="I41" s="2153"/>
      <c r="J41" s="2156"/>
      <c r="K41" s="2140"/>
      <c r="L41" s="1299"/>
      <c r="M41" s="1299"/>
      <c r="N41" s="1299"/>
      <c r="O41" s="1299"/>
      <c r="P41" s="1299"/>
      <c r="Q41" s="1299"/>
      <c r="R41" s="1299"/>
      <c r="S41" s="331"/>
      <c r="T41" s="331"/>
      <c r="U41" s="331"/>
      <c r="V41" s="331"/>
      <c r="W41" s="1300"/>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85">
        <v>0</v>
      </c>
    </row>
    <row s="1855" customFormat="1" customHeight="1" ht="17.25" hidden="1">
      <c r="A42" s="323"/>
      <c r="C42" s="322"/>
      <c r="D42" s="2138"/>
      <c r="E42" s="2146"/>
      <c r="F42" s="2149"/>
      <c r="G42" s="2146"/>
      <c r="H42" s="1301"/>
      <c r="I42" s="1302"/>
      <c r="J42" s="1302"/>
      <c r="K42" s="1302"/>
      <c r="L42" s="1302"/>
      <c r="M42" s="1302"/>
      <c r="N42" s="1302"/>
      <c r="O42" s="1302"/>
      <c r="P42" s="1302"/>
      <c r="Q42" s="1302"/>
      <c r="R42" s="1302"/>
      <c r="S42" s="1303"/>
      <c r="T42" s="1303"/>
      <c r="U42" s="1303"/>
      <c r="V42" s="1303"/>
      <c r="W42" s="1304"/>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85">
        <v>0</v>
      </c>
    </row>
    <row s="1855" customFormat="1" customHeight="1" ht="17.25" hidden="1">
      <c r="A43" s="323"/>
      <c r="C43" s="211"/>
      <c r="D43" s="2137">
        <v>6</v>
      </c>
      <c r="E43" s="2145" t="s">
        <v>186</v>
      </c>
      <c r="F43" s="2147" t="s">
        <v>19</v>
      </c>
      <c r="G43" s="2145"/>
      <c r="H43" s="2150"/>
      <c r="I43" s="2152"/>
      <c r="J43" s="2154"/>
      <c r="K43" s="2139"/>
      <c r="L43" s="2139"/>
      <c r="M43" s="2139"/>
      <c r="N43" s="2141"/>
      <c r="O43" s="2139"/>
      <c r="P43" s="2139"/>
      <c r="Q43" s="2139"/>
      <c r="R43" s="2144"/>
      <c r="S43" s="2139"/>
      <c r="T43" s="1422"/>
      <c r="U43" s="1422"/>
      <c r="V43" s="1421"/>
      <c r="W43" s="1298"/>
      <c r="X43" s="1269"/>
      <c r="Y43" s="1269"/>
      <c r="Z43" s="1269"/>
      <c r="AA43" s="1269"/>
      <c r="AB43" s="1269"/>
      <c r="AC43" s="1269" t="s">
        <v>187</v>
      </c>
      <c r="AD43" s="1269" t="s">
        <v>188</v>
      </c>
      <c r="AE43" s="1269" t="s">
        <v>189</v>
      </c>
      <c r="AF43" s="1269" t="s">
        <v>190</v>
      </c>
      <c r="AG43" s="1269" t="s">
        <v>191</v>
      </c>
      <c r="AH43" s="1269" t="str">
        <f>IF($E$43=0,"",$E$43)</f>
        <v>Тарифы на услуги по передаче теплоносителя</v>
      </c>
      <c r="AI43" s="1269" t="str">
        <f>IF($G$43=0,"",$G$43)</f>
        <v/>
      </c>
      <c r="AJ43" s="1269" t="str">
        <f>IF($J$43=0,"",$J$43)</f>
        <v/>
      </c>
      <c r="AK43" s="1269" t="str">
        <f>IF($K$43="нет","без дифференциации",IF($N$43=0,"",$N$43))</f>
        <v/>
      </c>
      <c r="AL43" s="1269" t="str">
        <f>IF($O$43="нет","без дифференциации",IF($R$43=0,"",$R$43))</f>
        <v/>
      </c>
      <c r="AM43" s="1269" t="str">
        <f>IF($S$43="нет","без дифференциации",IF($V$43=0,"",$V$43))</f>
        <v/>
      </c>
      <c r="AN43" s="1774">
        <f>$I$43</f>
        <v>0</v>
      </c>
      <c r="AO43" s="1269" t="str">
        <f>$I$43&amp;"."&amp;$M$43</f>
        <v>.</v>
      </c>
      <c r="AP43" s="1261" t="str">
        <f>$I$43&amp;"."&amp;$M$43&amp;"."&amp;$Q$43</f>
        <v>..</v>
      </c>
      <c r="AQ43" s="1261" t="str">
        <f>$I$43&amp;"."&amp;$M$43&amp;"."&amp;$Q$43&amp;"."&amp;$U$43</f>
        <v>...</v>
      </c>
      <c r="AR43" s="1285">
        <v>0</v>
      </c>
    </row>
    <row s="1855" customFormat="1" customHeight="1" ht="17.25" hidden="1">
      <c r="A44" s="323"/>
      <c r="C44" s="322"/>
      <c r="D44" s="2137"/>
      <c r="E44" s="2145"/>
      <c r="F44" s="2148"/>
      <c r="G44" s="2145"/>
      <c r="H44" s="2151"/>
      <c r="I44" s="2153"/>
      <c r="J44" s="2155"/>
      <c r="K44" s="2140"/>
      <c r="L44" s="2140"/>
      <c r="M44" s="2140"/>
      <c r="N44" s="2142"/>
      <c r="O44" s="2140"/>
      <c r="P44" s="2140"/>
      <c r="Q44" s="2140"/>
      <c r="R44" s="2143"/>
      <c r="S44" s="2140"/>
      <c r="T44" s="1299"/>
      <c r="U44" s="1299"/>
      <c r="V44" s="1299"/>
      <c r="W44" s="1300"/>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85">
        <v>0</v>
      </c>
    </row>
    <row s="1855" customFormat="1" customHeight="1" ht="17.25" hidden="1">
      <c r="A45" s="323"/>
      <c r="C45" s="322"/>
      <c r="D45" s="2138"/>
      <c r="E45" s="2146"/>
      <c r="F45" s="2148"/>
      <c r="G45" s="2146"/>
      <c r="H45" s="2151"/>
      <c r="I45" s="2153"/>
      <c r="J45" s="2156"/>
      <c r="K45" s="2140"/>
      <c r="L45" s="2140"/>
      <c r="M45" s="2140"/>
      <c r="N45" s="2143"/>
      <c r="O45" s="2140"/>
      <c r="P45" s="1420"/>
      <c r="Q45" s="1299"/>
      <c r="R45" s="1299"/>
      <c r="S45" s="331"/>
      <c r="T45" s="331"/>
      <c r="U45" s="331"/>
      <c r="V45" s="331"/>
      <c r="W45" s="1300"/>
      <c r="X45" s="1261"/>
      <c r="Y45" s="1261"/>
      <c r="Z45" s="1261"/>
      <c r="AA45" s="1261"/>
      <c r="AB45" s="1261"/>
      <c r="AC45" s="1261"/>
      <c r="AD45" s="1261"/>
      <c r="AE45" s="1261"/>
      <c r="AF45" s="1261"/>
      <c r="AG45" s="1261"/>
      <c r="AH45" s="1261"/>
      <c r="AI45" s="1261"/>
      <c r="AJ45" s="1261"/>
      <c r="AK45" s="1261"/>
      <c r="AL45" s="1261"/>
      <c r="AM45" s="1261"/>
      <c r="AN45" s="1261"/>
      <c r="AO45" s="1261"/>
      <c r="AP45" s="1261"/>
      <c r="AQ45" s="1261"/>
      <c r="AR45" s="1285">
        <v>0</v>
      </c>
    </row>
    <row s="1855" customFormat="1" customHeight="1" ht="17.25" hidden="1">
      <c r="A46" s="323"/>
      <c r="C46" s="211"/>
      <c r="D46" s="2138"/>
      <c r="E46" s="2146"/>
      <c r="F46" s="2148"/>
      <c r="G46" s="2146"/>
      <c r="H46" s="2151"/>
      <c r="I46" s="2153"/>
      <c r="J46" s="2156"/>
      <c r="K46" s="2140"/>
      <c r="L46" s="1299"/>
      <c r="M46" s="1299"/>
      <c r="N46" s="1299"/>
      <c r="O46" s="1299"/>
      <c r="P46" s="1299"/>
      <c r="Q46" s="1299"/>
      <c r="R46" s="1299"/>
      <c r="S46" s="331"/>
      <c r="T46" s="331"/>
      <c r="U46" s="331"/>
      <c r="V46" s="331"/>
      <c r="W46" s="1300"/>
      <c r="Y46" s="1269"/>
      <c r="Z46" s="1269"/>
      <c r="AA46" s="1269"/>
      <c r="AB46" s="1269"/>
      <c r="AC46" s="1269"/>
      <c r="AD46" s="1269"/>
      <c r="AE46" s="1269"/>
      <c r="AF46" s="1269"/>
      <c r="AG46" s="1269"/>
      <c r="AH46" s="1269"/>
      <c r="AI46" s="1269"/>
      <c r="AJ46" s="1269"/>
      <c r="AK46" s="1269"/>
      <c r="AL46" s="1269"/>
      <c r="AM46" s="1269"/>
      <c r="AN46" s="1269"/>
      <c r="AO46" s="1269"/>
      <c r="AP46" s="1269"/>
      <c r="AQ46" s="1269"/>
      <c r="AR46" s="1328">
        <v>0</v>
      </c>
    </row>
    <row s="1855" customFormat="1" customHeight="1" ht="17.25" hidden="1">
      <c r="A47" s="323"/>
      <c r="C47" s="322"/>
      <c r="D47" s="2138"/>
      <c r="E47" s="2146"/>
      <c r="F47" s="2149"/>
      <c r="G47" s="2146"/>
      <c r="H47" s="1301"/>
      <c r="I47" s="1302"/>
      <c r="J47" s="1302"/>
      <c r="K47" s="1302"/>
      <c r="L47" s="1302"/>
      <c r="M47" s="1302"/>
      <c r="N47" s="1302"/>
      <c r="O47" s="1302"/>
      <c r="P47" s="1302"/>
      <c r="Q47" s="1302"/>
      <c r="R47" s="1302"/>
      <c r="S47" s="1303"/>
      <c r="T47" s="1303"/>
      <c r="U47" s="1303"/>
      <c r="V47" s="1303"/>
      <c r="W47" s="1304"/>
      <c r="X47" s="1261"/>
      <c r="Y47" s="1261"/>
      <c r="Z47" s="1261"/>
      <c r="AA47" s="1261"/>
      <c r="AB47" s="1261"/>
      <c r="AC47" s="1261"/>
      <c r="AD47" s="1261"/>
      <c r="AE47" s="1261"/>
      <c r="AF47" s="1261"/>
      <c r="AG47" s="1261"/>
      <c r="AH47" s="1261"/>
      <c r="AI47" s="1261"/>
      <c r="AJ47" s="1261"/>
      <c r="AK47" s="1261"/>
      <c r="AL47" s="1261"/>
      <c r="AM47" s="1261"/>
      <c r="AN47" s="1261"/>
      <c r="AO47" s="1261"/>
      <c r="AP47" s="1261"/>
      <c r="AQ47" s="1261"/>
      <c r="AR47" s="1285">
        <v>0</v>
      </c>
    </row>
    <row s="1855" customFormat="1" customHeight="1" ht="17.25" hidden="1">
      <c r="A48" s="323"/>
      <c r="C48" s="211"/>
      <c r="D48" s="2168">
        <v>7</v>
      </c>
      <c r="E48" s="2171" t="s">
        <v>192</v>
      </c>
      <c r="F48" s="2147" t="s">
        <v>19</v>
      </c>
      <c r="G48" s="2171"/>
      <c r="H48" s="2150"/>
      <c r="I48" s="2152"/>
      <c r="J48" s="2154"/>
      <c r="K48" s="2139"/>
      <c r="L48" s="2139"/>
      <c r="M48" s="2139"/>
      <c r="N48" s="2141"/>
      <c r="O48" s="2139"/>
      <c r="P48" s="2139"/>
      <c r="Q48" s="2139"/>
      <c r="R48" s="2144"/>
      <c r="S48" s="2139"/>
      <c r="T48" s="1422"/>
      <c r="U48" s="1422"/>
      <c r="V48" s="1421"/>
      <c r="W48" s="1298"/>
      <c r="X48" s="1269"/>
      <c r="Y48" s="1269"/>
      <c r="Z48" s="1269"/>
      <c r="AA48" s="1269"/>
      <c r="AB48" s="1269"/>
      <c r="AC48" s="1269" t="s">
        <v>193</v>
      </c>
      <c r="AD48" s="1269" t="s">
        <v>194</v>
      </c>
      <c r="AE48" s="1269" t="s">
        <v>195</v>
      </c>
      <c r="AF48" s="1269" t="s">
        <v>196</v>
      </c>
      <c r="AG48" s="1269" t="s">
        <v>197</v>
      </c>
      <c r="AH48" s="1269" t="str">
        <f>IF($E$48=0,"",$E$48)</f>
        <v>Плата за услуги по поддержанию резервной тепловой мощности при отсутствии потребления тепловой энергии</v>
      </c>
      <c r="AI48" s="1269" t="str">
        <f>IF($G$48=0,"",$G$48)</f>
        <v/>
      </c>
      <c r="AJ48" s="1269" t="str">
        <f>IF($J$48=0,"",$J$48)</f>
        <v/>
      </c>
      <c r="AK48" s="1269" t="str">
        <f>IF($K$48="нет","без дифференциации",IF($N$48=0,"",$N$48))</f>
        <v/>
      </c>
      <c r="AL48" s="1269" t="str">
        <f>IF($O$48="нет","без дифференциации",IF($R$48=0,"",$R$48))</f>
        <v/>
      </c>
      <c r="AM48" s="1269" t="str">
        <f>IF($S$48="нет","без дифференциации",IF($V$48=0,"",$V$48))</f>
        <v/>
      </c>
      <c r="AN48" s="1774">
        <f>$I$48</f>
        <v>0</v>
      </c>
      <c r="AO48" s="1269" t="str">
        <f>$I$48&amp;"."&amp;$M$48</f>
        <v>.</v>
      </c>
      <c r="AP48" s="1261" t="str">
        <f>$I$48&amp;"."&amp;$M$48&amp;"."&amp;$Q$48</f>
        <v>..</v>
      </c>
      <c r="AQ48" s="1261" t="str">
        <f>$I$48&amp;"."&amp;$M$48&amp;"."&amp;$Q$48&amp;"."&amp;$U$48</f>
        <v>...</v>
      </c>
      <c r="AR48" s="1310">
        <v>0</v>
      </c>
    </row>
    <row s="1855" customFormat="1" customHeight="1" ht="17.25" hidden="1">
      <c r="A49" s="323"/>
      <c r="C49" s="322"/>
      <c r="D49" s="2169"/>
      <c r="E49" s="2172"/>
      <c r="F49" s="2148"/>
      <c r="G49" s="2172"/>
      <c r="H49" s="2151"/>
      <c r="I49" s="2153"/>
      <c r="J49" s="2155"/>
      <c r="K49" s="2140"/>
      <c r="L49" s="2140"/>
      <c r="M49" s="2140"/>
      <c r="N49" s="2142"/>
      <c r="O49" s="2140"/>
      <c r="P49" s="2140"/>
      <c r="Q49" s="2140"/>
      <c r="R49" s="2143"/>
      <c r="S49" s="2140"/>
      <c r="T49" s="1299"/>
      <c r="U49" s="1299"/>
      <c r="V49" s="1299"/>
      <c r="W49" s="1300"/>
      <c r="X49" s="1261"/>
      <c r="Y49" s="1261"/>
      <c r="Z49" s="1261"/>
      <c r="AA49" s="1261"/>
      <c r="AB49" s="1261"/>
      <c r="AC49" s="1261"/>
      <c r="AD49" s="1261"/>
      <c r="AE49" s="1261"/>
      <c r="AF49" s="1261"/>
      <c r="AG49" s="1261"/>
      <c r="AH49" s="1261"/>
      <c r="AI49" s="1261"/>
      <c r="AJ49" s="1261"/>
      <c r="AK49" s="1261"/>
      <c r="AL49" s="1261"/>
      <c r="AM49" s="1261"/>
      <c r="AN49" s="1261"/>
      <c r="AO49" s="1261"/>
      <c r="AP49" s="1261"/>
      <c r="AQ49" s="1261"/>
      <c r="AR49" s="1310">
        <v>0</v>
      </c>
    </row>
    <row s="1855" customFormat="1" customHeight="1" ht="17.25" hidden="1">
      <c r="A50" s="323"/>
      <c r="C50" s="322"/>
      <c r="D50" s="2169"/>
      <c r="E50" s="2172"/>
      <c r="F50" s="2148"/>
      <c r="G50" s="2172"/>
      <c r="H50" s="2151"/>
      <c r="I50" s="2153"/>
      <c r="J50" s="2156"/>
      <c r="K50" s="2140"/>
      <c r="L50" s="2140"/>
      <c r="M50" s="2140"/>
      <c r="N50" s="2143"/>
      <c r="O50" s="2140"/>
      <c r="P50" s="1420"/>
      <c r="Q50" s="1299"/>
      <c r="R50" s="1299"/>
      <c r="S50" s="331"/>
      <c r="T50" s="331"/>
      <c r="U50" s="331"/>
      <c r="V50" s="331"/>
      <c r="W50" s="1300"/>
      <c r="X50" s="1261"/>
      <c r="Y50" s="1261"/>
      <c r="Z50" s="1261"/>
      <c r="AA50" s="1261"/>
      <c r="AB50" s="1261"/>
      <c r="AC50" s="1261"/>
      <c r="AD50" s="1261"/>
      <c r="AE50" s="1261"/>
      <c r="AF50" s="1261"/>
      <c r="AG50" s="1261"/>
      <c r="AH50" s="1261"/>
      <c r="AI50" s="1261"/>
      <c r="AJ50" s="1261"/>
      <c r="AK50" s="1261"/>
      <c r="AL50" s="1261"/>
      <c r="AM50" s="1261"/>
      <c r="AN50" s="1261"/>
      <c r="AO50" s="1261"/>
      <c r="AP50" s="1261"/>
      <c r="AQ50" s="1261"/>
      <c r="AR50" s="1310">
        <v>0</v>
      </c>
    </row>
    <row s="1855" customFormat="1" customHeight="1" ht="17.25" hidden="1">
      <c r="A51" s="323"/>
      <c r="C51" s="211"/>
      <c r="D51" s="2169"/>
      <c r="E51" s="2172"/>
      <c r="F51" s="2148"/>
      <c r="G51" s="2172"/>
      <c r="H51" s="2151"/>
      <c r="I51" s="2153"/>
      <c r="J51" s="2156"/>
      <c r="K51" s="2140"/>
      <c r="L51" s="1299"/>
      <c r="M51" s="1299"/>
      <c r="N51" s="1299"/>
      <c r="O51" s="1299"/>
      <c r="P51" s="1299"/>
      <c r="Q51" s="1299"/>
      <c r="R51" s="1299"/>
      <c r="S51" s="331"/>
      <c r="T51" s="331"/>
      <c r="U51" s="331"/>
      <c r="V51" s="331"/>
      <c r="W51" s="1300"/>
      <c r="Y51" s="1269"/>
      <c r="Z51" s="1269"/>
      <c r="AA51" s="1269"/>
      <c r="AB51" s="1269"/>
      <c r="AC51" s="1269"/>
      <c r="AD51" s="1269"/>
      <c r="AE51" s="1269"/>
      <c r="AF51" s="1269"/>
      <c r="AG51" s="1269"/>
      <c r="AH51" s="1269"/>
      <c r="AI51" s="1269"/>
      <c r="AJ51" s="1269"/>
      <c r="AK51" s="1269"/>
      <c r="AL51" s="1269"/>
      <c r="AM51" s="1269"/>
      <c r="AN51" s="1269"/>
      <c r="AO51" s="1269"/>
      <c r="AP51" s="1269"/>
      <c r="AQ51" s="1269"/>
      <c r="AR51" s="1328">
        <v>0</v>
      </c>
    </row>
    <row s="1855" customFormat="1" customHeight="1" ht="17.25" hidden="1">
      <c r="A52" s="323"/>
      <c r="C52" s="322"/>
      <c r="D52" s="2170"/>
      <c r="E52" s="2173"/>
      <c r="F52" s="2149"/>
      <c r="G52" s="2173"/>
      <c r="H52" s="1301"/>
      <c r="I52" s="1302"/>
      <c r="J52" s="1302"/>
      <c r="K52" s="1302"/>
      <c r="L52" s="1302"/>
      <c r="M52" s="1302"/>
      <c r="N52" s="1302"/>
      <c r="O52" s="1302"/>
      <c r="P52" s="1302"/>
      <c r="Q52" s="1302"/>
      <c r="R52" s="1302"/>
      <c r="S52" s="1303"/>
      <c r="T52" s="1303"/>
      <c r="U52" s="1303"/>
      <c r="V52" s="1303"/>
      <c r="W52" s="1304"/>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310">
        <v>0</v>
      </c>
    </row>
    <row s="1855" customFormat="1" customHeight="1" ht="17.25" hidden="1">
      <c r="A53" s="323"/>
      <c r="C53" s="211"/>
      <c r="D53" s="2137">
        <v>8</v>
      </c>
      <c r="E53" s="2145" t="s">
        <v>198</v>
      </c>
      <c r="F53" s="2147" t="s">
        <v>19</v>
      </c>
      <c r="G53" s="2145"/>
      <c r="H53" s="2150"/>
      <c r="I53" s="2152"/>
      <c r="J53" s="2154"/>
      <c r="K53" s="2139"/>
      <c r="L53" s="2139"/>
      <c r="M53" s="2139"/>
      <c r="N53" s="2141"/>
      <c r="O53" s="2139"/>
      <c r="P53" s="2139"/>
      <c r="Q53" s="2139"/>
      <c r="R53" s="2144"/>
      <c r="S53" s="2139"/>
      <c r="T53" s="1472"/>
      <c r="U53" s="1472"/>
      <c r="V53" s="1474"/>
      <c r="W53" s="1298"/>
      <c r="X53" s="1269"/>
      <c r="Y53" s="1269"/>
      <c r="Z53" s="1269"/>
      <c r="AA53" s="1269"/>
      <c r="AB53" s="1269"/>
      <c r="AC53" s="1269" t="s">
        <v>199</v>
      </c>
      <c r="AD53" s="1269" t="s">
        <v>200</v>
      </c>
      <c r="AE53" s="1269" t="s">
        <v>201</v>
      </c>
      <c r="AF53" s="1269" t="s">
        <v>202</v>
      </c>
      <c r="AG53" s="1269" t="s">
        <v>203</v>
      </c>
      <c r="AH53" s="1269" t="str">
        <f>IF($E$53=0,"",$E$53)</f>
        <v>Плата за подключение (технологическое присоединение) к системе теплоснабжения</v>
      </c>
      <c r="AI53" s="1269" t="str">
        <f>IF($G$53=0,"",$G$53)</f>
        <v/>
      </c>
      <c r="AJ53" s="1269" t="str">
        <f>IF($J$53=0,"",$J$53)</f>
        <v/>
      </c>
      <c r="AK53" s="1269" t="str">
        <f>IF($K$53="нет","без дифференциации",IF($N$53=0,"",$N$53))</f>
        <v/>
      </c>
      <c r="AL53" s="1269" t="str">
        <f>IF($O$53="нет","без дифференциации",IF($R$53=0,"",$R$53))</f>
        <v/>
      </c>
      <c r="AM53" s="1269" t="str">
        <f>IF($S$53="нет","без дифференциации",IF($V$53=0,"",$V$53))</f>
        <v/>
      </c>
      <c r="AN53" s="1774">
        <f>$I$53</f>
        <v>0</v>
      </c>
      <c r="AO53" s="1269" t="str">
        <f>$I$53&amp;"."&amp;$M$53</f>
        <v>.</v>
      </c>
      <c r="AP53" s="1261" t="str">
        <f>$I$53&amp;"."&amp;$M$53&amp;"."&amp;$Q$53</f>
        <v>..</v>
      </c>
      <c r="AQ53" s="1261" t="str">
        <f>$I$53&amp;"."&amp;$M$53&amp;"."&amp;$Q$53&amp;"."&amp;$U$53</f>
        <v>...</v>
      </c>
      <c r="AR53" s="1310">
        <v>0</v>
      </c>
    </row>
    <row s="1855" customFormat="1" customHeight="1" ht="17.25" hidden="1">
      <c r="A54" s="323"/>
      <c r="C54" s="322"/>
      <c r="D54" s="2137"/>
      <c r="E54" s="2145"/>
      <c r="F54" s="2148"/>
      <c r="G54" s="2145"/>
      <c r="H54" s="2151"/>
      <c r="I54" s="2153"/>
      <c r="J54" s="2155"/>
      <c r="K54" s="2140"/>
      <c r="L54" s="2140"/>
      <c r="M54" s="2140"/>
      <c r="N54" s="2142"/>
      <c r="O54" s="2140"/>
      <c r="P54" s="2140"/>
      <c r="Q54" s="2140"/>
      <c r="R54" s="2143"/>
      <c r="S54" s="2140"/>
      <c r="T54" s="1299"/>
      <c r="U54" s="1299"/>
      <c r="V54" s="1299"/>
      <c r="W54" s="1300"/>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310">
        <v>0</v>
      </c>
    </row>
    <row s="1855" customFormat="1" customHeight="1" ht="17.25" hidden="1">
      <c r="A55" s="323"/>
      <c r="C55" s="322"/>
      <c r="D55" s="2138"/>
      <c r="E55" s="2146"/>
      <c r="F55" s="2148"/>
      <c r="G55" s="2146"/>
      <c r="H55" s="2151"/>
      <c r="I55" s="2153"/>
      <c r="J55" s="2156"/>
      <c r="K55" s="2140"/>
      <c r="L55" s="2140"/>
      <c r="M55" s="2140"/>
      <c r="N55" s="2143"/>
      <c r="O55" s="2140"/>
      <c r="P55" s="1473"/>
      <c r="Q55" s="1299"/>
      <c r="R55" s="1299"/>
      <c r="S55" s="331"/>
      <c r="T55" s="331"/>
      <c r="U55" s="331"/>
      <c r="V55" s="331"/>
      <c r="W55" s="1300"/>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310">
        <v>0</v>
      </c>
    </row>
    <row s="1855" customFormat="1" customHeight="1" ht="17.25" hidden="1">
      <c r="A56" s="323"/>
      <c r="C56" s="211"/>
      <c r="D56" s="2138"/>
      <c r="E56" s="2146"/>
      <c r="F56" s="2148"/>
      <c r="G56" s="2146"/>
      <c r="H56" s="2151"/>
      <c r="I56" s="2153"/>
      <c r="J56" s="2156"/>
      <c r="K56" s="2140"/>
      <c r="L56" s="1299"/>
      <c r="M56" s="1299"/>
      <c r="N56" s="1299"/>
      <c r="O56" s="1299"/>
      <c r="P56" s="1299"/>
      <c r="Q56" s="1299"/>
      <c r="R56" s="1299"/>
      <c r="S56" s="331"/>
      <c r="T56" s="331"/>
      <c r="U56" s="331"/>
      <c r="V56" s="331"/>
      <c r="W56" s="1300"/>
      <c r="Y56" s="1269"/>
      <c r="Z56" s="1269"/>
      <c r="AA56" s="1269"/>
      <c r="AB56" s="1269"/>
      <c r="AC56" s="1269"/>
      <c r="AD56" s="1269"/>
      <c r="AE56" s="1269"/>
      <c r="AF56" s="1269"/>
      <c r="AG56" s="1269"/>
      <c r="AH56" s="1269"/>
      <c r="AI56" s="1269"/>
      <c r="AJ56" s="1269"/>
      <c r="AK56" s="1269"/>
      <c r="AL56" s="1269"/>
      <c r="AM56" s="1269"/>
      <c r="AN56" s="1269"/>
      <c r="AO56" s="1269"/>
      <c r="AP56" s="1269"/>
      <c r="AQ56" s="1269"/>
      <c r="AR56" s="1328">
        <v>0</v>
      </c>
    </row>
    <row s="1855" customFormat="1" customHeight="1" ht="17.25" hidden="1">
      <c r="A57" s="323"/>
      <c r="C57" s="322"/>
      <c r="D57" s="2138"/>
      <c r="E57" s="2146"/>
      <c r="F57" s="2149"/>
      <c r="G57" s="2146"/>
      <c r="H57" s="1301"/>
      <c r="I57" s="1302"/>
      <c r="J57" s="1302"/>
      <c r="K57" s="1302"/>
      <c r="L57" s="1302"/>
      <c r="M57" s="1302"/>
      <c r="N57" s="1302"/>
      <c r="O57" s="1302"/>
      <c r="P57" s="1302"/>
      <c r="Q57" s="1302"/>
      <c r="R57" s="1302"/>
      <c r="S57" s="1303"/>
      <c r="T57" s="1303"/>
      <c r="U57" s="1303"/>
      <c r="V57" s="1303"/>
      <c r="W57" s="1304"/>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310">
        <v>0</v>
      </c>
    </row>
    <row s="1855" customFormat="1" customHeight="1" ht="17.25" hidden="1">
      <c r="A58" s="323"/>
      <c r="C58" s="211"/>
      <c r="D58" s="2137">
        <v>9</v>
      </c>
      <c r="E58" s="2145" t="s">
        <v>204</v>
      </c>
      <c r="F58" s="2147" t="s">
        <v>19</v>
      </c>
      <c r="G58" s="2145"/>
      <c r="H58" s="2150"/>
      <c r="I58" s="2152"/>
      <c r="J58" s="2154"/>
      <c r="K58" s="2139"/>
      <c r="L58" s="2139"/>
      <c r="M58" s="2139"/>
      <c r="N58" s="2141"/>
      <c r="O58" s="2139"/>
      <c r="P58" s="2139"/>
      <c r="Q58" s="2139"/>
      <c r="R58" s="2144"/>
      <c r="S58" s="2139"/>
      <c r="T58" s="1933"/>
      <c r="U58" s="1933"/>
      <c r="V58" s="1935"/>
      <c r="W58" s="1298"/>
      <c r="X58" s="1269"/>
      <c r="Y58" s="1269"/>
      <c r="Z58" s="1269"/>
      <c r="AA58" s="1269"/>
      <c r="AB58" s="1269"/>
      <c r="AC58" s="1269" t="s">
        <v>205</v>
      </c>
      <c r="AD58" s="1269" t="s">
        <v>206</v>
      </c>
      <c r="AE58" s="1269" t="s">
        <v>207</v>
      </c>
      <c r="AF58" s="1269" t="s">
        <v>208</v>
      </c>
      <c r="AG58" s="1269" t="s">
        <v>209</v>
      </c>
      <c r="AH58" s="1269" t="str">
        <f>IF($E$58=0,"",$E$58)</f>
        <v>Плата за подключение (технологическое присоединение) к системе теплоснабжения (индивидуальная)</v>
      </c>
      <c r="AI58" s="1269" t="str">
        <f>IF($G$58=0,"",$G$58)</f>
        <v/>
      </c>
      <c r="AJ58" s="1269" t="str">
        <f>IF($J$58=0,"",$J$58)</f>
        <v/>
      </c>
      <c r="AK58" s="1269" t="str">
        <f>IF($K$58="нет","без дифференциации",IF($N$58=0,"",$N$58))</f>
        <v/>
      </c>
      <c r="AL58" s="1269" t="str">
        <f>IF($O$58="нет","без дифференциации",IF($R$58=0,"",$R$58))</f>
        <v/>
      </c>
      <c r="AM58" s="1269" t="str">
        <f>IF($S$58="нет","без дифференциации",IF($V$58=0,"",$V$58))</f>
        <v/>
      </c>
      <c r="AN58" s="1774">
        <f>$I$58</f>
        <v>0</v>
      </c>
      <c r="AO58" s="1269" t="str">
        <f>$I$58&amp;"."&amp;$M$58</f>
        <v>.</v>
      </c>
      <c r="AP58" s="1268" t="str">
        <f>$I$58&amp;"."&amp;$M$58&amp;"."&amp;$Q$58</f>
        <v>..</v>
      </c>
      <c r="AQ58" s="1268" t="str">
        <f>$I$58&amp;"."&amp;$M$58&amp;"."&amp;$Q$58&amp;"."&amp;$U$58</f>
        <v>...</v>
      </c>
      <c r="AR58" s="1469">
        <v>0</v>
      </c>
    </row>
    <row s="1855" customFormat="1" customHeight="1" ht="17.25" hidden="1">
      <c r="A59" s="323"/>
      <c r="C59" s="322"/>
      <c r="D59" s="2137"/>
      <c r="E59" s="2145"/>
      <c r="F59" s="2148"/>
      <c r="G59" s="2145"/>
      <c r="H59" s="2151"/>
      <c r="I59" s="2153"/>
      <c r="J59" s="2155"/>
      <c r="K59" s="2140"/>
      <c r="L59" s="2140"/>
      <c r="M59" s="2140"/>
      <c r="N59" s="2142"/>
      <c r="O59" s="2140"/>
      <c r="P59" s="2140"/>
      <c r="Q59" s="2140"/>
      <c r="R59" s="2143"/>
      <c r="S59" s="2140"/>
      <c r="T59" s="1936"/>
      <c r="U59" s="1936"/>
      <c r="V59" s="1936"/>
      <c r="W59" s="1937"/>
      <c r="X59" s="1268"/>
      <c r="Y59" s="1268"/>
      <c r="Z59" s="1268"/>
      <c r="AA59" s="1268"/>
      <c r="AB59" s="1268"/>
      <c r="AC59" s="1268"/>
      <c r="AD59" s="1268"/>
      <c r="AE59" s="1268"/>
      <c r="AF59" s="1268"/>
      <c r="AG59" s="1268"/>
      <c r="AH59" s="1268"/>
      <c r="AI59" s="1268"/>
      <c r="AJ59" s="1268"/>
      <c r="AK59" s="1268"/>
      <c r="AL59" s="1268"/>
      <c r="AM59" s="1268"/>
      <c r="AN59" s="1268"/>
      <c r="AO59" s="1268"/>
      <c r="AP59" s="1268"/>
      <c r="AQ59" s="1268"/>
      <c r="AR59" s="1469">
        <v>0</v>
      </c>
    </row>
    <row s="1855" customFormat="1" customHeight="1" ht="17.25" hidden="1">
      <c r="A60" s="323"/>
      <c r="C60" s="322"/>
      <c r="D60" s="2138"/>
      <c r="E60" s="2146"/>
      <c r="F60" s="2148"/>
      <c r="G60" s="2146"/>
      <c r="H60" s="2151"/>
      <c r="I60" s="2153"/>
      <c r="J60" s="2156"/>
      <c r="K60" s="2140"/>
      <c r="L60" s="2140"/>
      <c r="M60" s="2140"/>
      <c r="N60" s="2143"/>
      <c r="O60" s="2140"/>
      <c r="P60" s="1934"/>
      <c r="Q60" s="1936"/>
      <c r="R60" s="1936"/>
      <c r="S60" s="331"/>
      <c r="T60" s="331"/>
      <c r="U60" s="331"/>
      <c r="V60" s="331"/>
      <c r="W60" s="1937"/>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469">
        <v>0</v>
      </c>
    </row>
    <row s="1855" customFormat="1" customHeight="1" ht="17.25" hidden="1">
      <c r="A61" s="323"/>
      <c r="C61" s="211"/>
      <c r="D61" s="2138"/>
      <c r="E61" s="2146"/>
      <c r="F61" s="2148"/>
      <c r="G61" s="2146"/>
      <c r="H61" s="2151"/>
      <c r="I61" s="2153"/>
      <c r="J61" s="2156"/>
      <c r="K61" s="2140"/>
      <c r="L61" s="1936"/>
      <c r="M61" s="1936"/>
      <c r="N61" s="1936"/>
      <c r="O61" s="1936"/>
      <c r="P61" s="1936"/>
      <c r="Q61" s="1936"/>
      <c r="R61" s="1936"/>
      <c r="S61" s="331"/>
      <c r="T61" s="331"/>
      <c r="U61" s="331"/>
      <c r="V61" s="331"/>
      <c r="W61" s="1937"/>
      <c r="Y61" s="1269"/>
      <c r="Z61" s="1269"/>
      <c r="AA61" s="1269"/>
      <c r="AB61" s="1269"/>
      <c r="AC61" s="1269"/>
      <c r="AD61" s="1269"/>
      <c r="AE61" s="1269"/>
      <c r="AF61" s="1269"/>
      <c r="AG61" s="1269"/>
      <c r="AH61" s="1269"/>
      <c r="AI61" s="1269"/>
      <c r="AJ61" s="1269"/>
      <c r="AK61" s="1269"/>
      <c r="AL61" s="1269"/>
      <c r="AM61" s="1269"/>
      <c r="AN61" s="1269"/>
      <c r="AO61" s="1269"/>
      <c r="AP61" s="1269"/>
      <c r="AQ61" s="1269"/>
      <c r="AR61" s="1469">
        <v>0</v>
      </c>
    </row>
    <row s="1855" customFormat="1" customHeight="1" ht="17.25" hidden="1">
      <c r="A62" s="323"/>
      <c r="C62" s="322"/>
      <c r="D62" s="2138"/>
      <c r="E62" s="2146"/>
      <c r="F62" s="2149"/>
      <c r="G62" s="2146"/>
      <c r="H62" s="1301"/>
      <c r="I62" s="1938"/>
      <c r="J62" s="1938"/>
      <c r="K62" s="1938"/>
      <c r="L62" s="1938"/>
      <c r="M62" s="1938"/>
      <c r="N62" s="1938"/>
      <c r="O62" s="1938"/>
      <c r="P62" s="1938"/>
      <c r="Q62" s="1938"/>
      <c r="R62" s="1938"/>
      <c r="S62" s="1303"/>
      <c r="T62" s="1303"/>
      <c r="U62" s="1303"/>
      <c r="V62" s="1303"/>
      <c r="W62" s="1939"/>
      <c r="X62" s="1268"/>
      <c r="Y62" s="1268"/>
      <c r="Z62" s="1268"/>
      <c r="AA62" s="1268"/>
      <c r="AB62" s="1268"/>
      <c r="AC62" s="1268"/>
      <c r="AD62" s="1268"/>
      <c r="AE62" s="1268"/>
      <c r="AF62" s="1268"/>
      <c r="AG62" s="1268"/>
      <c r="AH62" s="1268"/>
      <c r="AI62" s="1268"/>
      <c r="AJ62" s="1268"/>
      <c r="AK62" s="1268"/>
      <c r="AL62" s="1268"/>
      <c r="AM62" s="1268"/>
      <c r="AN62" s="1268"/>
      <c r="AO62" s="1268"/>
      <c r="AP62" s="1268"/>
      <c r="AQ62" s="1268"/>
      <c r="AR62" s="1469">
        <v>0</v>
      </c>
    </row>
    <row s="1855" customFormat="1" customHeight="1" ht="17.25" hidden="1">
      <c r="A63" s="323"/>
      <c r="C63" s="211"/>
      <c r="D63" s="2137">
        <v>10</v>
      </c>
      <c r="E63" s="2145" t="s">
        <v>210</v>
      </c>
      <c r="F63" s="2147" t="s">
        <v>19</v>
      </c>
      <c r="G63" s="2145"/>
      <c r="H63" s="2150"/>
      <c r="I63" s="2152"/>
      <c r="J63" s="2154"/>
      <c r="K63" s="2139"/>
      <c r="L63" s="2139"/>
      <c r="M63" s="2139"/>
      <c r="N63" s="2141"/>
      <c r="O63" s="2139"/>
      <c r="P63" s="2139"/>
      <c r="Q63" s="2139"/>
      <c r="R63" s="2144"/>
      <c r="S63" s="2139"/>
      <c r="T63" s="1933"/>
      <c r="U63" s="1933"/>
      <c r="V63" s="1935"/>
      <c r="W63" s="1298"/>
      <c r="X63" s="1269"/>
      <c r="Y63" s="1269"/>
      <c r="Z63" s="1269"/>
      <c r="AA63" s="1269"/>
      <c r="AB63" s="1269"/>
      <c r="AC63" s="1269" t="s">
        <v>211</v>
      </c>
      <c r="AD63" s="1269" t="s">
        <v>212</v>
      </c>
      <c r="AE63" s="1269" t="s">
        <v>213</v>
      </c>
      <c r="AF63" s="1269" t="s">
        <v>214</v>
      </c>
      <c r="AG63" s="1269" t="s">
        <v>215</v>
      </c>
      <c r="AH63" s="1269" t="str">
        <f>IF($E$63=0,"",$E$63)</f>
        <v>Предельный уровень цены на тепловую энергию (мощность), поставляемую теплоснабжающими организациями потребителям</v>
      </c>
      <c r="AI63" s="1269" t="str">
        <f>IF($G$63=0,"",$G$63)</f>
        <v/>
      </c>
      <c r="AJ63" s="1269" t="str">
        <f>IF($J$63=0,"",$J$63)</f>
        <v/>
      </c>
      <c r="AK63" s="1269" t="str">
        <f>IF($K$63="нет","без дифференциации",IF($N$63=0,"",$N$63))</f>
        <v/>
      </c>
      <c r="AL63" s="1269" t="str">
        <f>IF($O$63="нет","без дифференциации",IF($R$63=0,"",$R$63))</f>
        <v/>
      </c>
      <c r="AM63" s="1269" t="str">
        <f>IF($S$63="нет","без дифференциации",IF($V$63=0,"",$V$63))</f>
        <v/>
      </c>
      <c r="AN63" s="1774">
        <f>$I$63</f>
        <v>0</v>
      </c>
      <c r="AO63" s="1269" t="str">
        <f>$I$63&amp;"."&amp;$M$63</f>
        <v>.</v>
      </c>
      <c r="AP63" s="1268" t="str">
        <f>$I$63&amp;"."&amp;$M$63&amp;"."&amp;$Q$63</f>
        <v>..</v>
      </c>
      <c r="AQ63" s="1268" t="str">
        <f>$I$63&amp;"."&amp;$M$63&amp;"."&amp;$Q$63&amp;"."&amp;$U$63</f>
        <v>...</v>
      </c>
      <c r="AR63" s="1469">
        <v>0</v>
      </c>
    </row>
    <row s="1855" customFormat="1" customHeight="1" ht="17.25" hidden="1">
      <c r="A64" s="323"/>
      <c r="C64" s="322"/>
      <c r="D64" s="2137"/>
      <c r="E64" s="2145"/>
      <c r="F64" s="2148"/>
      <c r="G64" s="2145"/>
      <c r="H64" s="2151"/>
      <c r="I64" s="2153"/>
      <c r="J64" s="2155"/>
      <c r="K64" s="2140"/>
      <c r="L64" s="2140"/>
      <c r="M64" s="2140"/>
      <c r="N64" s="2142"/>
      <c r="O64" s="2140"/>
      <c r="P64" s="2140"/>
      <c r="Q64" s="2140"/>
      <c r="R64" s="2143"/>
      <c r="S64" s="2140"/>
      <c r="T64" s="1936"/>
      <c r="U64" s="1936"/>
      <c r="V64" s="1936"/>
      <c r="W64" s="1937"/>
      <c r="X64" s="1268"/>
      <c r="Y64" s="1268"/>
      <c r="Z64" s="1268"/>
      <c r="AA64" s="1268"/>
      <c r="AB64" s="1268"/>
      <c r="AC64" s="1268"/>
      <c r="AD64" s="1268"/>
      <c r="AE64" s="1268"/>
      <c r="AF64" s="1268"/>
      <c r="AG64" s="1268"/>
      <c r="AH64" s="1268"/>
      <c r="AI64" s="1268"/>
      <c r="AJ64" s="1268"/>
      <c r="AK64" s="1268"/>
      <c r="AL64" s="1268"/>
      <c r="AM64" s="1268"/>
      <c r="AN64" s="1268"/>
      <c r="AO64" s="1268"/>
      <c r="AP64" s="1268"/>
      <c r="AQ64" s="1268"/>
      <c r="AR64" s="1469">
        <v>0</v>
      </c>
    </row>
    <row s="1855" customFormat="1" customHeight="1" ht="17.25" hidden="1">
      <c r="A65" s="323"/>
      <c r="C65" s="322"/>
      <c r="D65" s="2138"/>
      <c r="E65" s="2146"/>
      <c r="F65" s="2148"/>
      <c r="G65" s="2146"/>
      <c r="H65" s="2151"/>
      <c r="I65" s="2153"/>
      <c r="J65" s="2156"/>
      <c r="K65" s="2140"/>
      <c r="L65" s="2140"/>
      <c r="M65" s="2140"/>
      <c r="N65" s="2143"/>
      <c r="O65" s="2140"/>
      <c r="P65" s="1934"/>
      <c r="Q65" s="1936"/>
      <c r="R65" s="1936"/>
      <c r="S65" s="331"/>
      <c r="T65" s="331"/>
      <c r="U65" s="331"/>
      <c r="V65" s="331"/>
      <c r="W65" s="1937"/>
      <c r="X65" s="1268"/>
      <c r="Y65" s="1268"/>
      <c r="Z65" s="1268"/>
      <c r="AA65" s="1268"/>
      <c r="AB65" s="1268"/>
      <c r="AC65" s="1268"/>
      <c r="AD65" s="1268"/>
      <c r="AE65" s="1268"/>
      <c r="AF65" s="1268"/>
      <c r="AG65" s="1268"/>
      <c r="AH65" s="1268"/>
      <c r="AI65" s="1268"/>
      <c r="AJ65" s="1268"/>
      <c r="AK65" s="1268"/>
      <c r="AL65" s="1268"/>
      <c r="AM65" s="1268"/>
      <c r="AN65" s="1268"/>
      <c r="AO65" s="1268"/>
      <c r="AP65" s="1268"/>
      <c r="AQ65" s="1268"/>
      <c r="AR65" s="1469">
        <v>0</v>
      </c>
    </row>
    <row s="1855" customFormat="1" customHeight="1" ht="17.25" hidden="1">
      <c r="A66" s="323"/>
      <c r="C66" s="211"/>
      <c r="D66" s="2138"/>
      <c r="E66" s="2146"/>
      <c r="F66" s="2148"/>
      <c r="G66" s="2146"/>
      <c r="H66" s="2151"/>
      <c r="I66" s="2153"/>
      <c r="J66" s="2156"/>
      <c r="K66" s="2140"/>
      <c r="L66" s="1936"/>
      <c r="M66" s="1936"/>
      <c r="N66" s="1936"/>
      <c r="O66" s="1936"/>
      <c r="P66" s="1936"/>
      <c r="Q66" s="1936"/>
      <c r="R66" s="1936"/>
      <c r="S66" s="331"/>
      <c r="T66" s="331"/>
      <c r="U66" s="331"/>
      <c r="V66" s="331"/>
      <c r="W66" s="1937"/>
      <c r="Y66" s="1269"/>
      <c r="Z66" s="1269"/>
      <c r="AA66" s="1269"/>
      <c r="AB66" s="1269"/>
      <c r="AC66" s="1269"/>
      <c r="AD66" s="1269"/>
      <c r="AE66" s="1269"/>
      <c r="AF66" s="1269"/>
      <c r="AG66" s="1269"/>
      <c r="AH66" s="1269"/>
      <c r="AI66" s="1269"/>
      <c r="AJ66" s="1269"/>
      <c r="AK66" s="1269"/>
      <c r="AL66" s="1269"/>
      <c r="AM66" s="1269"/>
      <c r="AN66" s="1269"/>
      <c r="AO66" s="1269"/>
      <c r="AP66" s="1269"/>
      <c r="AQ66" s="1269"/>
      <c r="AR66" s="1469">
        <v>0</v>
      </c>
    </row>
    <row s="1855" customFormat="1" customHeight="1" ht="17.25" hidden="1">
      <c r="A67" s="323"/>
      <c r="C67" s="322"/>
      <c r="D67" s="2138"/>
      <c r="E67" s="2146"/>
      <c r="F67" s="2149"/>
      <c r="G67" s="2146"/>
      <c r="H67" s="1301"/>
      <c r="I67" s="1938"/>
      <c r="J67" s="1938"/>
      <c r="K67" s="1938"/>
      <c r="L67" s="1938"/>
      <c r="M67" s="1938"/>
      <c r="N67" s="1938"/>
      <c r="O67" s="1938"/>
      <c r="P67" s="1938"/>
      <c r="Q67" s="1938"/>
      <c r="R67" s="1938"/>
      <c r="S67" s="1303"/>
      <c r="T67" s="1303"/>
      <c r="U67" s="1303"/>
      <c r="V67" s="1303"/>
      <c r="W67" s="1939"/>
      <c r="X67" s="1268"/>
      <c r="Y67" s="1268"/>
      <c r="Z67" s="1268"/>
      <c r="AA67" s="1268"/>
      <c r="AB67" s="1268"/>
      <c r="AC67" s="1268"/>
      <c r="AD67" s="1268"/>
      <c r="AE67" s="1268"/>
      <c r="AF67" s="1268"/>
      <c r="AG67" s="1268"/>
      <c r="AH67" s="1268"/>
      <c r="AI67" s="1268"/>
      <c r="AJ67" s="1268"/>
      <c r="AK67" s="1268"/>
      <c r="AL67" s="1268"/>
      <c r="AM67" s="1268"/>
      <c r="AN67" s="1268"/>
      <c r="AO67" s="1268"/>
      <c r="AP67" s="1268"/>
      <c r="AQ67" s="1268"/>
      <c r="AR67" s="1469">
        <v>0</v>
      </c>
    </row>
    <row customHeight="1" ht="11.25" hidden="1">
      <c r="AR68" s="106">
        <v>0</v>
      </c>
    </row>
    <row customHeight="1" ht="11.25" hidden="1">
      <c r="E69" s="2176" t="s">
        <v>216</v>
      </c>
      <c r="F69" s="2176"/>
      <c r="G69" s="2176"/>
      <c r="H69" s="2176"/>
      <c r="I69" s="2176"/>
      <c r="J69" s="2176"/>
      <c r="K69" s="2176"/>
      <c r="L69" s="2176"/>
      <c r="M69" s="2176"/>
      <c r="N69" s="2176"/>
      <c r="O69" s="2176"/>
      <c r="P69" s="2176"/>
      <c r="Q69" s="2176"/>
      <c r="R69" s="2176"/>
      <c r="S69" s="2176"/>
      <c r="T69" s="2176"/>
      <c r="U69" s="2176"/>
      <c r="V69" s="2176"/>
      <c r="W69" s="2176"/>
      <c r="AR69" s="106">
        <v>0</v>
      </c>
    </row>
    <row customHeight="1" ht="36.75" hidden="1">
      <c r="E70" s="2174" t="s">
        <v>217</v>
      </c>
      <c r="F70" s="2174"/>
      <c r="G70" s="2175"/>
      <c r="H70" s="2175"/>
      <c r="I70" s="2175"/>
      <c r="J70" s="2175"/>
      <c r="K70" s="2175"/>
      <c r="L70" s="2175"/>
      <c r="M70" s="2175"/>
      <c r="N70" s="2175"/>
      <c r="O70" s="2175"/>
      <c r="P70" s="2175"/>
      <c r="Q70" s="2175"/>
      <c r="R70" s="2175"/>
      <c r="S70" s="2175"/>
      <c r="T70" s="2175"/>
      <c r="U70" s="2175"/>
      <c r="V70" s="2175"/>
      <c r="W70" s="2175"/>
      <c r="AR70" s="106">
        <v>0</v>
      </c>
    </row>
    <row customHeight="1" ht="28.5" hidden="1">
      <c r="E71" s="2174" t="s">
        <v>218</v>
      </c>
      <c r="F71" s="2174"/>
      <c r="G71" s="2175"/>
      <c r="H71" s="2175"/>
      <c r="I71" s="2175"/>
      <c r="J71" s="2175"/>
      <c r="K71" s="2175"/>
      <c r="L71" s="2175"/>
      <c r="M71" s="2175"/>
      <c r="N71" s="2175"/>
      <c r="O71" s="2175"/>
      <c r="P71" s="2175"/>
      <c r="Q71" s="2175"/>
      <c r="R71" s="2175"/>
      <c r="S71" s="2175"/>
      <c r="T71" s="2175"/>
      <c r="U71" s="2175"/>
      <c r="V71" s="2175"/>
      <c r="W71" s="2175"/>
      <c r="AR71" s="106">
        <v>0</v>
      </c>
    </row>
    <row customHeight="1" ht="27" hidden="1">
      <c r="E72" s="2174" t="s">
        <v>219</v>
      </c>
      <c r="F72" s="2174"/>
      <c r="G72" s="2175"/>
      <c r="H72" s="2175"/>
      <c r="I72" s="2175"/>
      <c r="J72" s="2175"/>
      <c r="K72" s="2175"/>
      <c r="L72" s="2175"/>
      <c r="M72" s="2175"/>
      <c r="N72" s="2175"/>
      <c r="O72" s="2175"/>
      <c r="P72" s="2175"/>
      <c r="Q72" s="2175"/>
      <c r="R72" s="2175"/>
      <c r="S72" s="2175"/>
      <c r="T72" s="2175"/>
      <c r="U72" s="2175"/>
      <c r="V72" s="2175"/>
      <c r="W72" s="2175"/>
      <c r="AR72" s="106">
        <v>0</v>
      </c>
    </row>
    <row customHeight="1" ht="17.25" hidden="1">
      <c r="E73" s="2174" t="s">
        <v>220</v>
      </c>
      <c r="F73" s="2174"/>
      <c r="G73" s="2175"/>
      <c r="H73" s="2175"/>
      <c r="I73" s="2175"/>
      <c r="J73" s="2175"/>
      <c r="K73" s="2175"/>
      <c r="L73" s="2175"/>
      <c r="M73" s="2175"/>
      <c r="N73" s="2175"/>
      <c r="O73" s="2175"/>
      <c r="P73" s="2175"/>
      <c r="Q73" s="2175"/>
      <c r="R73" s="2175"/>
      <c r="S73" s="2175"/>
      <c r="T73" s="2175"/>
      <c r="U73" s="2175"/>
      <c r="V73" s="2175"/>
      <c r="W73" s="2175"/>
      <c r="AR73" s="106">
        <v>0</v>
      </c>
    </row>
    <row customHeight="1" ht="15" hidden="1">
      <c r="E74" s="342"/>
      <c r="F74" s="1287"/>
      <c r="G74" s="159"/>
      <c r="H74" s="159"/>
      <c r="I74" s="159"/>
      <c r="J74" s="159"/>
      <c r="K74" s="159"/>
      <c r="L74" s="159"/>
      <c r="M74" s="159"/>
      <c r="N74" s="159"/>
      <c r="O74" s="159"/>
      <c r="P74" s="159"/>
      <c r="Q74" s="159"/>
      <c r="R74" s="159"/>
      <c r="S74" s="159"/>
      <c r="T74" s="159"/>
      <c r="U74" s="159"/>
      <c r="V74" s="159"/>
      <c r="W74" s="159"/>
      <c r="AR74" s="106">
        <v>0</v>
      </c>
    </row>
    <row customHeight="1" ht="15" hidden="1">
      <c r="E75" s="2176" t="s">
        <v>221</v>
      </c>
      <c r="F75" s="2176"/>
      <c r="G75" s="2176"/>
      <c r="H75" s="2176"/>
      <c r="I75" s="2176"/>
      <c r="J75" s="2176"/>
      <c r="K75" s="2176"/>
      <c r="L75" s="2176"/>
      <c r="M75" s="2176"/>
      <c r="N75" s="2176"/>
      <c r="O75" s="2176"/>
      <c r="P75" s="2176"/>
      <c r="Q75" s="2176"/>
      <c r="R75" s="2176"/>
      <c r="S75" s="2176"/>
      <c r="T75" s="2176"/>
      <c r="U75" s="2176"/>
      <c r="V75" s="2176"/>
      <c r="W75" s="2176"/>
      <c r="AR75" s="106">
        <v>0</v>
      </c>
    </row>
    <row customHeight="1" ht="17.25" hidden="1">
      <c r="E76" s="2174" t="s">
        <v>222</v>
      </c>
      <c r="F76" s="2174"/>
      <c r="G76" s="2175"/>
      <c r="H76" s="2175"/>
      <c r="I76" s="2175"/>
      <c r="J76" s="2175"/>
      <c r="K76" s="2175"/>
      <c r="L76" s="2175"/>
      <c r="M76" s="2175"/>
      <c r="N76" s="2175"/>
      <c r="O76" s="2175"/>
      <c r="P76" s="2175"/>
      <c r="Q76" s="2175"/>
      <c r="R76" s="2175"/>
      <c r="S76" s="2175"/>
      <c r="T76" s="2175"/>
      <c r="U76" s="2175"/>
      <c r="V76" s="2175"/>
      <c r="W76" s="2175"/>
      <c r="AR76" s="106">
        <v>0</v>
      </c>
    </row>
    <row customHeight="1" ht="17.25" hidden="1">
      <c r="E77" s="2174" t="s">
        <v>223</v>
      </c>
      <c r="F77" s="2174"/>
      <c r="G77" s="2175"/>
      <c r="H77" s="2175"/>
      <c r="I77" s="2175"/>
      <c r="J77" s="2175"/>
      <c r="K77" s="2175"/>
      <c r="L77" s="2175"/>
      <c r="M77" s="2175"/>
      <c r="N77" s="2175"/>
      <c r="O77" s="2175"/>
      <c r="P77" s="2175"/>
      <c r="Q77" s="2175"/>
      <c r="R77" s="2175"/>
      <c r="S77" s="2175"/>
      <c r="T77" s="2175"/>
      <c r="U77" s="2175"/>
      <c r="V77" s="2175"/>
      <c r="W77" s="2175"/>
      <c r="AR77" s="106">
        <v>0</v>
      </c>
    </row>
    <row s="1855" customFormat="1" customHeight="1" ht="11.25" hidden="1">
      <c r="A78" s="279"/>
      <c r="B78" s="279"/>
      <c r="Y78" s="1261"/>
      <c r="Z78" s="1261"/>
      <c r="AA78" s="1261"/>
      <c r="AB78" s="1261"/>
      <c r="AC78" s="1261"/>
      <c r="AD78" s="1261"/>
      <c r="AE78" s="1261"/>
      <c r="AF78" s="1261"/>
      <c r="AG78" s="1261"/>
      <c r="AH78" s="1261"/>
      <c r="AI78" s="1261"/>
      <c r="AJ78" s="1261"/>
      <c r="AK78" s="1261"/>
      <c r="AL78" s="1261"/>
      <c r="AM78" s="1261"/>
      <c r="AN78" s="1261"/>
      <c r="AO78" s="1261"/>
      <c r="AP78" s="1261"/>
      <c r="AQ78" s="1261"/>
      <c r="AR78" s="1352">
        <v>0</v>
      </c>
    </row>
    <row s="1855" customFormat="1" customHeight="1" ht="17.25" hidden="1">
      <c r="A79" s="323"/>
      <c r="C79" s="211"/>
      <c r="D79" s="2137">
        <v>1</v>
      </c>
      <c r="E79" s="2145" t="s">
        <v>224</v>
      </c>
      <c r="F79" s="2147" t="s">
        <v>19</v>
      </c>
      <c r="G79" s="2145"/>
      <c r="H79" s="2150"/>
      <c r="I79" s="2152"/>
      <c r="J79" s="2154"/>
      <c r="K79" s="2139"/>
      <c r="L79" s="2139"/>
      <c r="M79" s="2139"/>
      <c r="N79" s="2141"/>
      <c r="O79" s="2139"/>
      <c r="P79" s="2139"/>
      <c r="Q79" s="2139"/>
      <c r="R79" s="2144"/>
      <c r="S79" s="2139"/>
      <c r="T79" s="1472"/>
      <c r="U79" s="1472"/>
      <c r="V79" s="1474"/>
      <c r="W79" s="1298"/>
      <c r="Y79" s="1269"/>
      <c r="Z79" s="1269"/>
      <c r="AA79" s="1269"/>
      <c r="AB79" s="1269"/>
      <c r="AC79" s="1269" t="s">
        <v>225</v>
      </c>
      <c r="AD79" s="1269" t="s">
        <v>226</v>
      </c>
      <c r="AE79" s="1269" t="s">
        <v>227</v>
      </c>
      <c r="AF79" s="1269" t="s">
        <v>228</v>
      </c>
      <c r="AG79" s="1269"/>
      <c r="AH79" s="1269" t="str">
        <f>IF($E$79=0,"",$E$79)</f>
        <v>Тариф на питьевую воду (питьевое водоснабжение)</v>
      </c>
      <c r="AI79" s="1269" t="str">
        <f>IF($G$79=0,"",$G$79)</f>
        <v/>
      </c>
      <c r="AJ79" s="1269" t="str">
        <f>IF($J$79=0,"",$J$79)</f>
        <v/>
      </c>
      <c r="AK79" s="1269" t="str">
        <f>IF($K$79="нет","без дифференциации",IF($N$79=0,"",$N$79))</f>
        <v/>
      </c>
      <c r="AL79" s="1269" t="str">
        <f>IF($O$79="нет","без дифференциации",IF($R$79=0,"",$R$79))</f>
        <v/>
      </c>
      <c r="AM79" s="1269" t="str">
        <f>IF($S$79="нет","без дифференциации",IF($V$79=0,"",$V$79))</f>
        <v/>
      </c>
      <c r="AN79" s="1269">
        <f>$I$79</f>
        <v>0</v>
      </c>
      <c r="AO79" s="1269" t="str">
        <f>$I$79&amp;"."&amp;$M$79</f>
        <v>.</v>
      </c>
      <c r="AP79" s="1269" t="str">
        <f>$I$79&amp;"."&amp;$M$79&amp;"."&amp;$Q$79</f>
        <v>..</v>
      </c>
      <c r="AQ79" s="1269" t="str">
        <f>$I$79&amp;"."&amp;$M$79&amp;"."&amp;$Q$79&amp;"."&amp;$U$79</f>
        <v>...</v>
      </c>
      <c r="AR79" s="1352">
        <v>0</v>
      </c>
    </row>
    <row s="1855" customFormat="1" customHeight="1" ht="17.25" hidden="1">
      <c r="A80" s="323"/>
      <c r="C80" s="322"/>
      <c r="D80" s="2137"/>
      <c r="E80" s="2145"/>
      <c r="F80" s="2148"/>
      <c r="G80" s="2145"/>
      <c r="H80" s="2151"/>
      <c r="I80" s="2153"/>
      <c r="J80" s="2155"/>
      <c r="K80" s="2140"/>
      <c r="L80" s="2140"/>
      <c r="M80" s="2140"/>
      <c r="N80" s="2142"/>
      <c r="O80" s="2140"/>
      <c r="P80" s="2140"/>
      <c r="Q80" s="2140"/>
      <c r="R80" s="2143"/>
      <c r="S80" s="2140"/>
      <c r="T80" s="1299"/>
      <c r="U80" s="1299"/>
      <c r="V80" s="1299"/>
      <c r="W80" s="1300"/>
      <c r="Y80" s="1261"/>
      <c r="Z80" s="1261"/>
      <c r="AA80" s="1261"/>
      <c r="AB80" s="1261"/>
      <c r="AC80" s="1261"/>
      <c r="AD80" s="1261"/>
      <c r="AE80" s="1261"/>
      <c r="AF80" s="1261"/>
      <c r="AG80" s="1261"/>
      <c r="AH80" s="1261"/>
      <c r="AI80" s="1261"/>
      <c r="AJ80" s="1261"/>
      <c r="AK80" s="1261"/>
      <c r="AL80" s="1261"/>
      <c r="AM80" s="1261"/>
      <c r="AN80" s="1261"/>
      <c r="AO80" s="1261"/>
      <c r="AP80" s="1261"/>
      <c r="AQ80" s="1261"/>
      <c r="AR80" s="1352">
        <v>0</v>
      </c>
    </row>
    <row s="1855" customFormat="1" customHeight="1" ht="17.25" hidden="1">
      <c r="A81" s="323"/>
      <c r="C81" s="211"/>
      <c r="D81" s="2137"/>
      <c r="E81" s="2145"/>
      <c r="F81" s="2148"/>
      <c r="G81" s="2145"/>
      <c r="H81" s="2151"/>
      <c r="I81" s="2153"/>
      <c r="J81" s="2156"/>
      <c r="K81" s="2140"/>
      <c r="L81" s="2140"/>
      <c r="M81" s="2140"/>
      <c r="N81" s="2143"/>
      <c r="O81" s="2140"/>
      <c r="P81" s="1473"/>
      <c r="Q81" s="1299"/>
      <c r="R81" s="1299"/>
      <c r="S81" s="331"/>
      <c r="T81" s="331"/>
      <c r="U81" s="331"/>
      <c r="V81" s="331"/>
      <c r="W81" s="1300"/>
      <c r="Y81" s="1269"/>
      <c r="Z81" s="1269"/>
      <c r="AA81" s="1269"/>
      <c r="AB81" s="1269"/>
      <c r="AC81" s="1269"/>
      <c r="AD81" s="1269"/>
      <c r="AE81" s="1269"/>
      <c r="AF81" s="1269"/>
      <c r="AG81" s="1269"/>
      <c r="AH81" s="1269"/>
      <c r="AI81" s="1269"/>
      <c r="AJ81" s="1269"/>
      <c r="AK81" s="1269"/>
      <c r="AL81" s="1269"/>
      <c r="AM81" s="1269"/>
      <c r="AN81" s="1269"/>
      <c r="AO81" s="1269"/>
      <c r="AP81" s="1269"/>
      <c r="AQ81" s="1269"/>
      <c r="AR81" s="1443">
        <v>0</v>
      </c>
    </row>
    <row s="1855" customFormat="1" customHeight="1" ht="17.25" hidden="1">
      <c r="A82" s="323"/>
      <c r="C82" s="322"/>
      <c r="D82" s="2137"/>
      <c r="E82" s="2145"/>
      <c r="F82" s="2148"/>
      <c r="G82" s="2145"/>
      <c r="H82" s="2151"/>
      <c r="I82" s="2153"/>
      <c r="J82" s="2156"/>
      <c r="K82" s="2140"/>
      <c r="L82" s="1299"/>
      <c r="M82" s="1299"/>
      <c r="N82" s="1299"/>
      <c r="O82" s="1299"/>
      <c r="P82" s="1299"/>
      <c r="Q82" s="1299"/>
      <c r="R82" s="1299"/>
      <c r="S82" s="331"/>
      <c r="T82" s="331"/>
      <c r="U82" s="331"/>
      <c r="V82" s="331"/>
      <c r="W82" s="1300"/>
      <c r="Y82" s="1261"/>
      <c r="Z82" s="1261"/>
      <c r="AA82" s="1261"/>
      <c r="AB82" s="1261"/>
      <c r="AC82" s="1261"/>
      <c r="AD82" s="1261"/>
      <c r="AE82" s="1261"/>
      <c r="AF82" s="1261"/>
      <c r="AG82" s="1261"/>
      <c r="AH82" s="1261"/>
      <c r="AI82" s="1261"/>
      <c r="AJ82" s="1261"/>
      <c r="AK82" s="1261"/>
      <c r="AL82" s="1261"/>
      <c r="AM82" s="1261"/>
      <c r="AN82" s="1261"/>
      <c r="AO82" s="1261"/>
      <c r="AP82" s="1261"/>
      <c r="AQ82" s="1261"/>
      <c r="AR82" s="1443">
        <v>0</v>
      </c>
    </row>
    <row s="1855" customFormat="1" customHeight="1" ht="17.25" hidden="1">
      <c r="A83" s="323"/>
      <c r="C83" s="322"/>
      <c r="D83" s="2138"/>
      <c r="E83" s="2146"/>
      <c r="F83" s="2149"/>
      <c r="G83" s="2146"/>
      <c r="H83" s="1301"/>
      <c r="I83" s="1302"/>
      <c r="J83" s="1302"/>
      <c r="K83" s="1302"/>
      <c r="L83" s="1302"/>
      <c r="M83" s="1302"/>
      <c r="N83" s="1302"/>
      <c r="O83" s="1302"/>
      <c r="P83" s="1302"/>
      <c r="Q83" s="1302"/>
      <c r="R83" s="1302"/>
      <c r="S83" s="1303"/>
      <c r="T83" s="1303"/>
      <c r="U83" s="1303"/>
      <c r="V83" s="1303"/>
      <c r="W83" s="1304"/>
      <c r="Y83" s="1261"/>
      <c r="Z83" s="1261"/>
      <c r="AA83" s="1261"/>
      <c r="AB83" s="1261"/>
      <c r="AC83" s="1261"/>
      <c r="AD83" s="1261"/>
      <c r="AE83" s="1261"/>
      <c r="AF83" s="1261"/>
      <c r="AG83" s="1261"/>
      <c r="AH83" s="1261"/>
      <c r="AI83" s="1261"/>
      <c r="AJ83" s="1261"/>
      <c r="AK83" s="1261"/>
      <c r="AL83" s="1261"/>
      <c r="AM83" s="1261"/>
      <c r="AN83" s="1261"/>
      <c r="AO83" s="1261"/>
      <c r="AP83" s="1261"/>
      <c r="AQ83" s="1261"/>
      <c r="AR83" s="1352">
        <v>0</v>
      </c>
    </row>
    <row s="1855" customFormat="1" customHeight="1" ht="17.25" hidden="1">
      <c r="A84" s="323"/>
      <c r="C84" s="211"/>
      <c r="D84" s="2137">
        <v>2</v>
      </c>
      <c r="E84" s="2145" t="s">
        <v>229</v>
      </c>
      <c r="F84" s="2147" t="s">
        <v>19</v>
      </c>
      <c r="G84" s="2145"/>
      <c r="H84" s="2150"/>
      <c r="I84" s="2152"/>
      <c r="J84" s="2154"/>
      <c r="K84" s="2139"/>
      <c r="L84" s="2139"/>
      <c r="M84" s="2139"/>
      <c r="N84" s="2141"/>
      <c r="O84" s="2139"/>
      <c r="P84" s="2139"/>
      <c r="Q84" s="2139"/>
      <c r="R84" s="2144"/>
      <c r="S84" s="2139"/>
      <c r="T84" s="1445"/>
      <c r="U84" s="1445"/>
      <c r="V84" s="1447"/>
      <c r="W84" s="1298"/>
      <c r="X84" s="1269"/>
      <c r="Y84" s="1269"/>
      <c r="Z84" s="1269"/>
      <c r="AA84" s="1269"/>
      <c r="AB84" s="1269"/>
      <c r="AC84" s="1269" t="s">
        <v>230</v>
      </c>
      <c r="AD84" s="1269" t="s">
        <v>231</v>
      </c>
      <c r="AE84" s="1269" t="s">
        <v>232</v>
      </c>
      <c r="AF84" s="1269" t="s">
        <v>233</v>
      </c>
      <c r="AG84" s="1269"/>
      <c r="AH84" s="1269" t="str">
        <f>IF($E$84=0,"",$E$84)</f>
        <v>Тариф на техническую воду</v>
      </c>
      <c r="AI84" s="1269" t="str">
        <f>IF($G$84=0,"",$G$84)</f>
        <v/>
      </c>
      <c r="AJ84" s="1269" t="str">
        <f>IF($J$84=0,"",$J$84)</f>
        <v/>
      </c>
      <c r="AK84" s="1269" t="str">
        <f>IF($K$84="нет","без дифференциации",IF($N$84=0,"",$N$84))</f>
        <v/>
      </c>
      <c r="AL84" s="1269" t="str">
        <f>IF($O$84="нет","без дифференциации",IF($R$84=0,"",$R$84))</f>
        <v/>
      </c>
      <c r="AM84" s="1269" t="str">
        <f>IF($S$84="нет","без дифференциации",IF($V$84=0,"",$V$84))</f>
        <v/>
      </c>
      <c r="AN84" s="1774">
        <f>$I$84</f>
        <v>0</v>
      </c>
      <c r="AO84" s="1269" t="str">
        <f>$I$84&amp;"."&amp;$M$84</f>
        <v>.</v>
      </c>
      <c r="AP84" s="1261" t="str">
        <f>$I$84&amp;"."&amp;$M$84&amp;"."&amp;$Q$84</f>
        <v>..</v>
      </c>
      <c r="AQ84" s="1261" t="str">
        <f>$I$84&amp;"."&amp;$M$84&amp;"."&amp;$Q$84&amp;"."&amp;$U$84</f>
        <v>...</v>
      </c>
      <c r="AR84" s="1352">
        <v>0</v>
      </c>
    </row>
    <row s="1855" customFormat="1" customHeight="1" ht="17.25" hidden="1">
      <c r="A85" s="323"/>
      <c r="C85" s="322"/>
      <c r="D85" s="2137"/>
      <c r="E85" s="2145"/>
      <c r="F85" s="2148"/>
      <c r="G85" s="2145"/>
      <c r="H85" s="2151"/>
      <c r="I85" s="2153"/>
      <c r="J85" s="2155"/>
      <c r="K85" s="2140"/>
      <c r="L85" s="2140"/>
      <c r="M85" s="2140"/>
      <c r="N85" s="2142"/>
      <c r="O85" s="2140"/>
      <c r="P85" s="2140"/>
      <c r="Q85" s="2140"/>
      <c r="R85" s="2143"/>
      <c r="S85" s="2140"/>
      <c r="T85" s="1299"/>
      <c r="U85" s="1299"/>
      <c r="V85" s="1299"/>
      <c r="W85" s="1300"/>
      <c r="X85" s="1261"/>
      <c r="Y85" s="1261"/>
      <c r="Z85" s="1261"/>
      <c r="AA85" s="1261"/>
      <c r="AB85" s="1261"/>
      <c r="AC85" s="1261"/>
      <c r="AD85" s="1261"/>
      <c r="AE85" s="1261"/>
      <c r="AF85" s="1261"/>
      <c r="AG85" s="1261"/>
      <c r="AH85" s="1261"/>
      <c r="AI85" s="1261"/>
      <c r="AJ85" s="1261"/>
      <c r="AK85" s="1261"/>
      <c r="AL85" s="1261"/>
      <c r="AM85" s="1261"/>
      <c r="AN85" s="1261"/>
      <c r="AO85" s="1261"/>
      <c r="AP85" s="1261"/>
      <c r="AQ85" s="1261"/>
      <c r="AR85" s="1352">
        <v>0</v>
      </c>
    </row>
    <row s="1855" customFormat="1" customHeight="1" ht="17.25" hidden="1">
      <c r="A86" s="323"/>
      <c r="C86" s="322"/>
      <c r="D86" s="2138"/>
      <c r="E86" s="2146"/>
      <c r="F86" s="2148"/>
      <c r="G86" s="2146"/>
      <c r="H86" s="2151"/>
      <c r="I86" s="2153"/>
      <c r="J86" s="2156"/>
      <c r="K86" s="2140"/>
      <c r="L86" s="2140"/>
      <c r="M86" s="2140"/>
      <c r="N86" s="2143"/>
      <c r="O86" s="2140"/>
      <c r="P86" s="1446"/>
      <c r="Q86" s="1299"/>
      <c r="R86" s="1299"/>
      <c r="S86" s="331"/>
      <c r="T86" s="331"/>
      <c r="U86" s="331"/>
      <c r="V86" s="331"/>
      <c r="W86" s="1300"/>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352">
        <v>0</v>
      </c>
    </row>
    <row s="1855" customFormat="1" customHeight="1" ht="17.25" hidden="1">
      <c r="A87" s="323"/>
      <c r="C87" s="322"/>
      <c r="D87" s="2138"/>
      <c r="E87" s="2146"/>
      <c r="F87" s="2148"/>
      <c r="G87" s="2146"/>
      <c r="H87" s="2151"/>
      <c r="I87" s="2153"/>
      <c r="J87" s="2156"/>
      <c r="K87" s="2140"/>
      <c r="L87" s="1299"/>
      <c r="M87" s="1299"/>
      <c r="N87" s="1299"/>
      <c r="O87" s="1299"/>
      <c r="P87" s="1299"/>
      <c r="Q87" s="1299"/>
      <c r="R87" s="1299"/>
      <c r="S87" s="331"/>
      <c r="T87" s="331"/>
      <c r="U87" s="331"/>
      <c r="V87" s="331"/>
      <c r="W87" s="1300"/>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352">
        <v>0</v>
      </c>
    </row>
    <row s="1855" customFormat="1" customHeight="1" ht="17.25" hidden="1">
      <c r="A88" s="323"/>
      <c r="C88" s="322"/>
      <c r="D88" s="2138"/>
      <c r="E88" s="2146"/>
      <c r="F88" s="2149"/>
      <c r="G88" s="2146"/>
      <c r="H88" s="1301"/>
      <c r="I88" s="1302"/>
      <c r="J88" s="1302"/>
      <c r="K88" s="1302"/>
      <c r="L88" s="1302"/>
      <c r="M88" s="1302"/>
      <c r="N88" s="1302"/>
      <c r="O88" s="1302"/>
      <c r="P88" s="1302"/>
      <c r="Q88" s="1302"/>
      <c r="R88" s="1302"/>
      <c r="S88" s="1303"/>
      <c r="T88" s="1303"/>
      <c r="U88" s="1303"/>
      <c r="V88" s="1303"/>
      <c r="W88" s="1304"/>
      <c r="X88" s="1261"/>
      <c r="Y88" s="1261"/>
      <c r="Z88" s="1261"/>
      <c r="AA88" s="1261"/>
      <c r="AB88" s="1261"/>
      <c r="AC88" s="1261"/>
      <c r="AD88" s="1261"/>
      <c r="AE88" s="1261"/>
      <c r="AF88" s="1261"/>
      <c r="AG88" s="1261"/>
      <c r="AH88" s="1261"/>
      <c r="AI88" s="1261"/>
      <c r="AJ88" s="1261"/>
      <c r="AK88" s="1261"/>
      <c r="AL88" s="1261"/>
      <c r="AM88" s="1261"/>
      <c r="AN88" s="1261"/>
      <c r="AO88" s="1261"/>
      <c r="AP88" s="1261"/>
      <c r="AQ88" s="1261"/>
      <c r="AR88" s="1352">
        <v>0</v>
      </c>
    </row>
    <row s="1855" customFormat="1" customHeight="1" ht="17.25" hidden="1">
      <c r="A89" s="323"/>
      <c r="C89" s="211"/>
      <c r="D89" s="2137">
        <v>3</v>
      </c>
      <c r="E89" s="2145" t="s">
        <v>234</v>
      </c>
      <c r="F89" s="2147" t="s">
        <v>19</v>
      </c>
      <c r="G89" s="2145"/>
      <c r="H89" s="2150"/>
      <c r="I89" s="2152"/>
      <c r="J89" s="2154"/>
      <c r="K89" s="2139"/>
      <c r="L89" s="2139"/>
      <c r="M89" s="2139"/>
      <c r="N89" s="2141"/>
      <c r="O89" s="2139"/>
      <c r="P89" s="2139"/>
      <c r="Q89" s="2139"/>
      <c r="R89" s="2144"/>
      <c r="S89" s="2139"/>
      <c r="T89" s="1445"/>
      <c r="U89" s="1445"/>
      <c r="V89" s="1447"/>
      <c r="W89" s="1298"/>
      <c r="X89" s="1269"/>
      <c r="Y89" s="1269"/>
      <c r="Z89" s="1269"/>
      <c r="AA89" s="1269"/>
      <c r="AB89" s="1269"/>
      <c r="AC89" s="1269" t="s">
        <v>235</v>
      </c>
      <c r="AD89" s="1269" t="s">
        <v>236</v>
      </c>
      <c r="AE89" s="1269" t="s">
        <v>237</v>
      </c>
      <c r="AF89" s="1269" t="s">
        <v>238</v>
      </c>
      <c r="AG89" s="1269"/>
      <c r="AH89" s="1269" t="str">
        <f>IF($E$89=0,"",$E$89)</f>
        <v>Тариф на транспортировку воды</v>
      </c>
      <c r="AI89" s="1269" t="str">
        <f>IF($G$89=0,"",$G$89)</f>
        <v/>
      </c>
      <c r="AJ89" s="1269" t="str">
        <f>IF($J$89=0,"",$J$89)</f>
        <v/>
      </c>
      <c r="AK89" s="1269" t="str">
        <f>IF($K$89="нет","без дифференциации",IF($N$89=0,"",$N$89))</f>
        <v/>
      </c>
      <c r="AL89" s="1269" t="str">
        <f>IF($O$89="нет","без дифференциации",IF($R$89=0,"",$R$89))</f>
        <v/>
      </c>
      <c r="AM89" s="1269" t="str">
        <f>IF($S$89="нет","без дифференциации",IF($V$89=0,"",$V$89))</f>
        <v/>
      </c>
      <c r="AN89" s="1774">
        <f>$I$89</f>
        <v>0</v>
      </c>
      <c r="AO89" s="1269" t="str">
        <f>$I$89&amp;"."&amp;$M$89</f>
        <v>.</v>
      </c>
      <c r="AP89" s="1261" t="str">
        <f>$I$89&amp;"."&amp;$M$89&amp;"."&amp;$Q$89</f>
        <v>..</v>
      </c>
      <c r="AQ89" s="1261" t="str">
        <f>$I$89&amp;"."&amp;$M$89&amp;"."&amp;$Q$89&amp;"."&amp;$U$89</f>
        <v>...</v>
      </c>
      <c r="AR89" s="1352">
        <v>0</v>
      </c>
    </row>
    <row s="1855" customFormat="1" customHeight="1" ht="17.25" hidden="1">
      <c r="A90" s="323"/>
      <c r="C90" s="322"/>
      <c r="D90" s="2137"/>
      <c r="E90" s="2145"/>
      <c r="F90" s="2148"/>
      <c r="G90" s="2145"/>
      <c r="H90" s="2151"/>
      <c r="I90" s="2153"/>
      <c r="J90" s="2155"/>
      <c r="K90" s="2140"/>
      <c r="L90" s="2140"/>
      <c r="M90" s="2140"/>
      <c r="N90" s="2142"/>
      <c r="O90" s="2140"/>
      <c r="P90" s="2140"/>
      <c r="Q90" s="2140"/>
      <c r="R90" s="2143"/>
      <c r="S90" s="2140"/>
      <c r="T90" s="1299"/>
      <c r="U90" s="1299"/>
      <c r="V90" s="1299"/>
      <c r="W90" s="1300"/>
      <c r="X90" s="1261"/>
      <c r="Y90" s="1261"/>
      <c r="Z90" s="1261"/>
      <c r="AA90" s="1261"/>
      <c r="AB90" s="1261"/>
      <c r="AC90" s="1261"/>
      <c r="AD90" s="1261"/>
      <c r="AE90" s="1261"/>
      <c r="AF90" s="1261"/>
      <c r="AG90" s="1261"/>
      <c r="AH90" s="1261"/>
      <c r="AI90" s="1261"/>
      <c r="AJ90" s="1261"/>
      <c r="AK90" s="1261"/>
      <c r="AL90" s="1261"/>
      <c r="AM90" s="1261"/>
      <c r="AN90" s="1261"/>
      <c r="AO90" s="1261"/>
      <c r="AP90" s="1261"/>
      <c r="AQ90" s="1261"/>
      <c r="AR90" s="1352">
        <v>0</v>
      </c>
    </row>
    <row s="1855" customFormat="1" customHeight="1" ht="17.25" hidden="1">
      <c r="A91" s="323"/>
      <c r="C91" s="322"/>
      <c r="D91" s="2138"/>
      <c r="E91" s="2146"/>
      <c r="F91" s="2148"/>
      <c r="G91" s="2146"/>
      <c r="H91" s="2151"/>
      <c r="I91" s="2153"/>
      <c r="J91" s="2156"/>
      <c r="K91" s="2140"/>
      <c r="L91" s="2140"/>
      <c r="M91" s="2140"/>
      <c r="N91" s="2143"/>
      <c r="O91" s="2140"/>
      <c r="P91" s="1446"/>
      <c r="Q91" s="1299"/>
      <c r="R91" s="1299"/>
      <c r="S91" s="331"/>
      <c r="T91" s="331"/>
      <c r="U91" s="331"/>
      <c r="V91" s="331"/>
      <c r="W91" s="1300"/>
      <c r="X91" s="1261"/>
      <c r="Y91" s="1261"/>
      <c r="Z91" s="1261"/>
      <c r="AA91" s="1261"/>
      <c r="AB91" s="1261"/>
      <c r="AC91" s="1261"/>
      <c r="AD91" s="1261"/>
      <c r="AE91" s="1261"/>
      <c r="AF91" s="1261"/>
      <c r="AG91" s="1261"/>
      <c r="AH91" s="1261"/>
      <c r="AI91" s="1261"/>
      <c r="AJ91" s="1261"/>
      <c r="AK91" s="1261"/>
      <c r="AL91" s="1261"/>
      <c r="AM91" s="1261"/>
      <c r="AN91" s="1261"/>
      <c r="AO91" s="1261"/>
      <c r="AP91" s="1261"/>
      <c r="AQ91" s="1261"/>
      <c r="AR91" s="1352">
        <v>0</v>
      </c>
    </row>
    <row s="1855" customFormat="1" customHeight="1" ht="17.25" hidden="1">
      <c r="A92" s="323"/>
      <c r="C92" s="322"/>
      <c r="D92" s="2138"/>
      <c r="E92" s="2146"/>
      <c r="F92" s="2148"/>
      <c r="G92" s="2146"/>
      <c r="H92" s="2151"/>
      <c r="I92" s="2153"/>
      <c r="J92" s="2156"/>
      <c r="K92" s="2140"/>
      <c r="L92" s="1299"/>
      <c r="M92" s="1299"/>
      <c r="N92" s="1299"/>
      <c r="O92" s="1299"/>
      <c r="P92" s="1299"/>
      <c r="Q92" s="1299"/>
      <c r="R92" s="1299"/>
      <c r="S92" s="331"/>
      <c r="T92" s="331"/>
      <c r="U92" s="331"/>
      <c r="V92" s="331"/>
      <c r="W92" s="1300"/>
      <c r="X92" s="1261"/>
      <c r="Y92" s="1261"/>
      <c r="Z92" s="1261"/>
      <c r="AA92" s="1261"/>
      <c r="AB92" s="1261"/>
      <c r="AC92" s="1261"/>
      <c r="AD92" s="1261"/>
      <c r="AE92" s="1261"/>
      <c r="AF92" s="1261"/>
      <c r="AG92" s="1261"/>
      <c r="AH92" s="1261"/>
      <c r="AI92" s="1261"/>
      <c r="AJ92" s="1261"/>
      <c r="AK92" s="1261"/>
      <c r="AL92" s="1261"/>
      <c r="AM92" s="1261"/>
      <c r="AN92" s="1261"/>
      <c r="AO92" s="1261"/>
      <c r="AP92" s="1261"/>
      <c r="AQ92" s="1261"/>
      <c r="AR92" s="1352">
        <v>0</v>
      </c>
    </row>
    <row s="1855" customFormat="1" customHeight="1" ht="17.25" hidden="1">
      <c r="A93" s="323"/>
      <c r="C93" s="322"/>
      <c r="D93" s="2138"/>
      <c r="E93" s="2146"/>
      <c r="F93" s="2149"/>
      <c r="G93" s="2146"/>
      <c r="H93" s="1301"/>
      <c r="I93" s="1302"/>
      <c r="J93" s="1302"/>
      <c r="K93" s="1302"/>
      <c r="L93" s="1302"/>
      <c r="M93" s="1302"/>
      <c r="N93" s="1302"/>
      <c r="O93" s="1302"/>
      <c r="P93" s="1302"/>
      <c r="Q93" s="1302"/>
      <c r="R93" s="1302"/>
      <c r="S93" s="1303"/>
      <c r="T93" s="1303"/>
      <c r="U93" s="1303"/>
      <c r="V93" s="1303"/>
      <c r="W93" s="1304"/>
      <c r="X93" s="1261"/>
      <c r="Y93" s="1261"/>
      <c r="Z93" s="1261"/>
      <c r="AA93" s="1261"/>
      <c r="AB93" s="1261"/>
      <c r="AC93" s="1261"/>
      <c r="AD93" s="1261"/>
      <c r="AE93" s="1261"/>
      <c r="AF93" s="1261"/>
      <c r="AG93" s="1261"/>
      <c r="AH93" s="1261"/>
      <c r="AI93" s="1261"/>
      <c r="AJ93" s="1261"/>
      <c r="AK93" s="1261"/>
      <c r="AL93" s="1261"/>
      <c r="AM93" s="1261"/>
      <c r="AN93" s="1261"/>
      <c r="AO93" s="1261"/>
      <c r="AP93" s="1261"/>
      <c r="AQ93" s="1261"/>
      <c r="AR93" s="1352">
        <v>0</v>
      </c>
    </row>
    <row s="1855" customFormat="1" customHeight="1" ht="17.25" hidden="1">
      <c r="A94" s="323"/>
      <c r="C94" s="211"/>
      <c r="D94" s="2137">
        <v>4</v>
      </c>
      <c r="E94" s="2145" t="s">
        <v>239</v>
      </c>
      <c r="F94" s="2147" t="s">
        <v>19</v>
      </c>
      <c r="G94" s="2145"/>
      <c r="H94" s="2150"/>
      <c r="I94" s="2152"/>
      <c r="J94" s="2154"/>
      <c r="K94" s="2139"/>
      <c r="L94" s="2139"/>
      <c r="M94" s="2139"/>
      <c r="N94" s="2141"/>
      <c r="O94" s="2139"/>
      <c r="P94" s="2139"/>
      <c r="Q94" s="2139"/>
      <c r="R94" s="2144"/>
      <c r="S94" s="2139"/>
      <c r="T94" s="1445"/>
      <c r="U94" s="1445"/>
      <c r="V94" s="1447"/>
      <c r="W94" s="1298"/>
      <c r="X94" s="1269"/>
      <c r="Y94" s="1269"/>
      <c r="Z94" s="1269"/>
      <c r="AA94" s="1269"/>
      <c r="AB94" s="1269"/>
      <c r="AC94" s="1269" t="s">
        <v>240</v>
      </c>
      <c r="AD94" s="1269" t="s">
        <v>241</v>
      </c>
      <c r="AE94" s="1269" t="s">
        <v>242</v>
      </c>
      <c r="AF94" s="1269" t="s">
        <v>243</v>
      </c>
      <c r="AG94" s="1269"/>
      <c r="AH94" s="1269" t="str">
        <f>IF($E$94=0,"",$E$94)</f>
        <v>Тариф на подвоз воды</v>
      </c>
      <c r="AI94" s="1269" t="str">
        <f>IF($G$94=0,"",$G$94)</f>
        <v/>
      </c>
      <c r="AJ94" s="1269" t="str">
        <f>IF($J$94=0,"",$J$94)</f>
        <v/>
      </c>
      <c r="AK94" s="1269" t="str">
        <f>IF($K$94="нет","без дифференциации",IF($N$94=0,"",$N$94))</f>
        <v/>
      </c>
      <c r="AL94" s="1269" t="str">
        <f>IF($O$94="нет","без дифференциации",IF($R$94=0,"",$R$94))</f>
        <v/>
      </c>
      <c r="AM94" s="1269" t="str">
        <f>IF($S$94="нет","без дифференциации",IF($V$94=0,"",$V$94))</f>
        <v/>
      </c>
      <c r="AN94" s="1774">
        <f>$I$94</f>
        <v>0</v>
      </c>
      <c r="AO94" s="1269" t="str">
        <f>$I$94&amp;"."&amp;$M$94</f>
        <v>.</v>
      </c>
      <c r="AP94" s="1261" t="str">
        <f>$I$94&amp;"."&amp;$M$94&amp;"."&amp;$Q$94</f>
        <v>..</v>
      </c>
      <c r="AQ94" s="1261" t="str">
        <f>$I$94&amp;"."&amp;$M$94&amp;"."&amp;$Q$94&amp;"."&amp;$U$94</f>
        <v>...</v>
      </c>
      <c r="AR94" s="1352">
        <v>0</v>
      </c>
    </row>
    <row s="1855" customFormat="1" customHeight="1" ht="17.25" hidden="1">
      <c r="A95" s="323"/>
      <c r="C95" s="322"/>
      <c r="D95" s="2137"/>
      <c r="E95" s="2145"/>
      <c r="F95" s="2148"/>
      <c r="G95" s="2145"/>
      <c r="H95" s="2151"/>
      <c r="I95" s="2153"/>
      <c r="J95" s="2155"/>
      <c r="K95" s="2140"/>
      <c r="L95" s="2140"/>
      <c r="M95" s="2140"/>
      <c r="N95" s="2142"/>
      <c r="O95" s="2140"/>
      <c r="P95" s="2140"/>
      <c r="Q95" s="2140"/>
      <c r="R95" s="2143"/>
      <c r="S95" s="2140"/>
      <c r="T95" s="1299"/>
      <c r="U95" s="1299"/>
      <c r="V95" s="1299"/>
      <c r="W95" s="1300"/>
      <c r="X95" s="1261"/>
      <c r="Y95" s="1261"/>
      <c r="Z95" s="1261"/>
      <c r="AA95" s="1261"/>
      <c r="AB95" s="1261"/>
      <c r="AC95" s="1261"/>
      <c r="AD95" s="1261"/>
      <c r="AE95" s="1261"/>
      <c r="AF95" s="1261"/>
      <c r="AG95" s="1261"/>
      <c r="AH95" s="1261"/>
      <c r="AI95" s="1261"/>
      <c r="AJ95" s="1261"/>
      <c r="AK95" s="1261"/>
      <c r="AL95" s="1261"/>
      <c r="AM95" s="1261"/>
      <c r="AN95" s="1261"/>
      <c r="AO95" s="1261"/>
      <c r="AP95" s="1261"/>
      <c r="AQ95" s="1261"/>
      <c r="AR95" s="1352">
        <v>0</v>
      </c>
    </row>
    <row s="1855" customFormat="1" customHeight="1" ht="17.25" hidden="1">
      <c r="A96" s="323"/>
      <c r="C96" s="322"/>
      <c r="D96" s="2138"/>
      <c r="E96" s="2146"/>
      <c r="F96" s="2148"/>
      <c r="G96" s="2146"/>
      <c r="H96" s="2151"/>
      <c r="I96" s="2153"/>
      <c r="J96" s="2156"/>
      <c r="K96" s="2140"/>
      <c r="L96" s="2140"/>
      <c r="M96" s="2140"/>
      <c r="N96" s="2143"/>
      <c r="O96" s="2140"/>
      <c r="P96" s="1446"/>
      <c r="Q96" s="1299"/>
      <c r="R96" s="1299"/>
      <c r="S96" s="331"/>
      <c r="T96" s="331"/>
      <c r="U96" s="331"/>
      <c r="V96" s="331"/>
      <c r="W96" s="1300"/>
      <c r="X96" s="1261"/>
      <c r="Y96" s="1261"/>
      <c r="Z96" s="1261"/>
      <c r="AA96" s="1261"/>
      <c r="AB96" s="1261"/>
      <c r="AC96" s="1261"/>
      <c r="AD96" s="1261"/>
      <c r="AE96" s="1261"/>
      <c r="AF96" s="1261"/>
      <c r="AG96" s="1261"/>
      <c r="AH96" s="1261"/>
      <c r="AI96" s="1261"/>
      <c r="AJ96" s="1261"/>
      <c r="AK96" s="1261"/>
      <c r="AL96" s="1261"/>
      <c r="AM96" s="1261"/>
      <c r="AN96" s="1261"/>
      <c r="AO96" s="1261"/>
      <c r="AP96" s="1261"/>
      <c r="AQ96" s="1261"/>
      <c r="AR96" s="1352">
        <v>0</v>
      </c>
    </row>
    <row s="1855" customFormat="1" customHeight="1" ht="17.25" hidden="1">
      <c r="A97" s="323"/>
      <c r="C97" s="322"/>
      <c r="D97" s="2138"/>
      <c r="E97" s="2146"/>
      <c r="F97" s="2148"/>
      <c r="G97" s="2146"/>
      <c r="H97" s="2151"/>
      <c r="I97" s="2153"/>
      <c r="J97" s="2156"/>
      <c r="K97" s="2140"/>
      <c r="L97" s="1299"/>
      <c r="M97" s="1299"/>
      <c r="N97" s="1299"/>
      <c r="O97" s="1299"/>
      <c r="P97" s="1299"/>
      <c r="Q97" s="1299"/>
      <c r="R97" s="1299"/>
      <c r="S97" s="331"/>
      <c r="T97" s="331"/>
      <c r="U97" s="331"/>
      <c r="V97" s="331"/>
      <c r="W97" s="1300"/>
      <c r="X97" s="1261"/>
      <c r="Y97" s="1261"/>
      <c r="Z97" s="1261"/>
      <c r="AA97" s="1261"/>
      <c r="AB97" s="1261"/>
      <c r="AC97" s="1261"/>
      <c r="AD97" s="1261"/>
      <c r="AE97" s="1261"/>
      <c r="AF97" s="1261"/>
      <c r="AG97" s="1261"/>
      <c r="AH97" s="1261"/>
      <c r="AI97" s="1261"/>
      <c r="AJ97" s="1261"/>
      <c r="AK97" s="1261"/>
      <c r="AL97" s="1261"/>
      <c r="AM97" s="1261"/>
      <c r="AN97" s="1261"/>
      <c r="AO97" s="1261"/>
      <c r="AP97" s="1261"/>
      <c r="AQ97" s="1261"/>
      <c r="AR97" s="1352">
        <v>0</v>
      </c>
    </row>
    <row s="1855" customFormat="1" customHeight="1" ht="17.25" hidden="1">
      <c r="A98" s="323"/>
      <c r="C98" s="322"/>
      <c r="D98" s="2138"/>
      <c r="E98" s="2146"/>
      <c r="F98" s="2149"/>
      <c r="G98" s="2146"/>
      <c r="H98" s="1301"/>
      <c r="I98" s="1302"/>
      <c r="J98" s="1302"/>
      <c r="K98" s="1302"/>
      <c r="L98" s="1302"/>
      <c r="M98" s="1302"/>
      <c r="N98" s="1302"/>
      <c r="O98" s="1302"/>
      <c r="P98" s="1302"/>
      <c r="Q98" s="1302"/>
      <c r="R98" s="1302"/>
      <c r="S98" s="1303"/>
      <c r="T98" s="1303"/>
      <c r="U98" s="1303"/>
      <c r="V98" s="1303"/>
      <c r="W98" s="1304"/>
      <c r="X98" s="1261"/>
      <c r="Y98" s="1261"/>
      <c r="Z98" s="1261"/>
      <c r="AA98" s="1261"/>
      <c r="AB98" s="1261"/>
      <c r="AC98" s="1261"/>
      <c r="AD98" s="1261"/>
      <c r="AE98" s="1261"/>
      <c r="AF98" s="1261"/>
      <c r="AG98" s="1261"/>
      <c r="AH98" s="1261"/>
      <c r="AI98" s="1261"/>
      <c r="AJ98" s="1261"/>
      <c r="AK98" s="1261"/>
      <c r="AL98" s="1261"/>
      <c r="AM98" s="1261"/>
      <c r="AN98" s="1261"/>
      <c r="AO98" s="1261"/>
      <c r="AP98" s="1261"/>
      <c r="AQ98" s="1261"/>
      <c r="AR98" s="1352">
        <v>0</v>
      </c>
    </row>
    <row s="1855" customFormat="1" customHeight="1" ht="17.25" hidden="1">
      <c r="A99" s="323"/>
      <c r="C99" s="211"/>
      <c r="D99" s="2137">
        <v>5</v>
      </c>
      <c r="E99" s="2145" t="s">
        <v>244</v>
      </c>
      <c r="F99" s="2147" t="s">
        <v>19</v>
      </c>
      <c r="G99" s="2145"/>
      <c r="H99" s="2150"/>
      <c r="I99" s="2152"/>
      <c r="J99" s="2154"/>
      <c r="K99" s="2139"/>
      <c r="L99" s="2139"/>
      <c r="M99" s="2139"/>
      <c r="N99" s="2141"/>
      <c r="O99" s="2139"/>
      <c r="P99" s="2139"/>
      <c r="Q99" s="2139"/>
      <c r="R99" s="2144"/>
      <c r="S99" s="2139"/>
      <c r="T99" s="1945"/>
      <c r="U99" s="1945"/>
      <c r="V99" s="1947"/>
      <c r="W99" s="1298"/>
      <c r="X99" s="1269"/>
      <c r="Y99" s="1269"/>
      <c r="Z99" s="1269"/>
      <c r="AA99" s="1269"/>
      <c r="AB99" s="1269"/>
      <c r="AC99" s="1269" t="s">
        <v>245</v>
      </c>
      <c r="AD99" s="1269" t="s">
        <v>246</v>
      </c>
      <c r="AE99" s="1269" t="s">
        <v>247</v>
      </c>
      <c r="AF99" s="1269" t="s">
        <v>248</v>
      </c>
      <c r="AG99" s="1269"/>
      <c r="AH99" s="1269" t="str">
        <f>IF($E$99=0,"",$E$99)</f>
        <v>Тариф на подключение (технологическое присоединение) к централизованной системе холодного водоснабжения</v>
      </c>
      <c r="AI99" s="1269" t="str">
        <f>IF($G$99=0,"",$G$99)</f>
        <v/>
      </c>
      <c r="AJ99" s="1269" t="str">
        <f>IF($J$99=0,"",$J$99)</f>
        <v/>
      </c>
      <c r="AK99" s="1269" t="str">
        <f>IF($K$99="нет","без дифференциации",IF($N$99=0,"",$N$99))</f>
        <v/>
      </c>
      <c r="AL99" s="1269" t="str">
        <f>IF($O$99="нет","без дифференциации",IF($R$99=0,"",$R$99))</f>
        <v/>
      </c>
      <c r="AM99" s="1269" t="str">
        <f>IF($S$99="нет","без дифференциации",IF($V$99=0,"",$V$99))</f>
        <v/>
      </c>
      <c r="AN99" s="1774">
        <f>$I$99</f>
        <v>0</v>
      </c>
      <c r="AO99" s="1269" t="str">
        <f>$I$99&amp;"."&amp;$M$99</f>
        <v>.</v>
      </c>
      <c r="AP99" s="1268" t="str">
        <f>$I$99&amp;"."&amp;$M$99&amp;"."&amp;$Q$99</f>
        <v>..</v>
      </c>
      <c r="AQ99" s="1268" t="str">
        <f>$I$99&amp;"."&amp;$M$99&amp;"."&amp;$Q$99&amp;"."&amp;$U$99</f>
        <v>...</v>
      </c>
      <c r="AR99" s="1469">
        <v>0</v>
      </c>
    </row>
    <row s="1855" customFormat="1" customHeight="1" ht="17.25" hidden="1">
      <c r="A100" s="323"/>
      <c r="C100" s="322"/>
      <c r="D100" s="2137"/>
      <c r="E100" s="2145"/>
      <c r="F100" s="2148"/>
      <c r="G100" s="2145"/>
      <c r="H100" s="2151"/>
      <c r="I100" s="2153"/>
      <c r="J100" s="2155"/>
      <c r="K100" s="2140"/>
      <c r="L100" s="2140"/>
      <c r="M100" s="2140"/>
      <c r="N100" s="2142"/>
      <c r="O100" s="2140"/>
      <c r="P100" s="2140"/>
      <c r="Q100" s="2140"/>
      <c r="R100" s="2143"/>
      <c r="S100" s="2140"/>
      <c r="T100" s="1950"/>
      <c r="U100" s="1950"/>
      <c r="V100" s="1950"/>
      <c r="W100" s="1951"/>
      <c r="X100" s="1268"/>
      <c r="Y100" s="1268"/>
      <c r="Z100" s="1268"/>
      <c r="AA100" s="1268"/>
      <c r="AB100" s="1268"/>
      <c r="AC100" s="1268"/>
      <c r="AD100" s="1268"/>
      <c r="AE100" s="1268"/>
      <c r="AF100" s="1268"/>
      <c r="AG100" s="1268"/>
      <c r="AH100" s="1268"/>
      <c r="AI100" s="1268"/>
      <c r="AJ100" s="1268"/>
      <c r="AK100" s="1268"/>
      <c r="AL100" s="1268"/>
      <c r="AM100" s="1268"/>
      <c r="AN100" s="1268"/>
      <c r="AO100" s="1268"/>
      <c r="AP100" s="1268"/>
      <c r="AQ100" s="1268"/>
      <c r="AR100" s="1469">
        <v>0</v>
      </c>
    </row>
    <row s="1855" customFormat="1" customHeight="1" ht="17.25" hidden="1">
      <c r="A101" s="323"/>
      <c r="C101" s="322"/>
      <c r="D101" s="2138"/>
      <c r="E101" s="2146"/>
      <c r="F101" s="2148"/>
      <c r="G101" s="2146"/>
      <c r="H101" s="2151"/>
      <c r="I101" s="2153"/>
      <c r="J101" s="2156"/>
      <c r="K101" s="2140"/>
      <c r="L101" s="2140"/>
      <c r="M101" s="2140"/>
      <c r="N101" s="2143"/>
      <c r="O101" s="2140"/>
      <c r="P101" s="1946"/>
      <c r="Q101" s="1950"/>
      <c r="R101" s="1950"/>
      <c r="S101" s="331"/>
      <c r="T101" s="331"/>
      <c r="U101" s="331"/>
      <c r="V101" s="331"/>
      <c r="W101" s="1951"/>
      <c r="X101" s="1268"/>
      <c r="Y101" s="1268"/>
      <c r="Z101" s="1268"/>
      <c r="AA101" s="1268"/>
      <c r="AB101" s="1268"/>
      <c r="AC101" s="1268"/>
      <c r="AD101" s="1268"/>
      <c r="AE101" s="1268"/>
      <c r="AF101" s="1268"/>
      <c r="AG101" s="1268"/>
      <c r="AH101" s="1268"/>
      <c r="AI101" s="1268"/>
      <c r="AJ101" s="1268"/>
      <c r="AK101" s="1268"/>
      <c r="AL101" s="1268"/>
      <c r="AM101" s="1268"/>
      <c r="AN101" s="1268"/>
      <c r="AO101" s="1268"/>
      <c r="AP101" s="1268"/>
      <c r="AQ101" s="1268"/>
      <c r="AR101" s="1469">
        <v>0</v>
      </c>
    </row>
    <row s="1855" customFormat="1" customHeight="1" ht="17.25" hidden="1">
      <c r="A102" s="323"/>
      <c r="C102" s="322"/>
      <c r="D102" s="2138"/>
      <c r="E102" s="2146"/>
      <c r="F102" s="2148"/>
      <c r="G102" s="2146"/>
      <c r="H102" s="2151"/>
      <c r="I102" s="2153"/>
      <c r="J102" s="2156"/>
      <c r="K102" s="2140"/>
      <c r="L102" s="1950"/>
      <c r="M102" s="1950"/>
      <c r="N102" s="1950"/>
      <c r="O102" s="1950"/>
      <c r="P102" s="1950"/>
      <c r="Q102" s="1950"/>
      <c r="R102" s="1950"/>
      <c r="S102" s="331"/>
      <c r="T102" s="331"/>
      <c r="U102" s="331"/>
      <c r="V102" s="331"/>
      <c r="W102" s="1951"/>
      <c r="X102" s="1268"/>
      <c r="Y102" s="1268"/>
      <c r="Z102" s="1268"/>
      <c r="AA102" s="1268"/>
      <c r="AB102" s="1268"/>
      <c r="AC102" s="1268"/>
      <c r="AD102" s="1268"/>
      <c r="AE102" s="1268"/>
      <c r="AF102" s="1268"/>
      <c r="AG102" s="1268"/>
      <c r="AH102" s="1268"/>
      <c r="AI102" s="1268"/>
      <c r="AJ102" s="1268"/>
      <c r="AK102" s="1268"/>
      <c r="AL102" s="1268"/>
      <c r="AM102" s="1268"/>
      <c r="AN102" s="1268"/>
      <c r="AO102" s="1268"/>
      <c r="AP102" s="1268"/>
      <c r="AQ102" s="1268"/>
      <c r="AR102" s="1469">
        <v>0</v>
      </c>
    </row>
    <row s="1855" customFormat="1" customHeight="1" ht="17.25" hidden="1">
      <c r="A103" s="323"/>
      <c r="C103" s="322"/>
      <c r="D103" s="2138"/>
      <c r="E103" s="2146"/>
      <c r="F103" s="2149"/>
      <c r="G103" s="2146"/>
      <c r="H103" s="1301"/>
      <c r="I103" s="1948"/>
      <c r="J103" s="1948"/>
      <c r="K103" s="1948"/>
      <c r="L103" s="1948"/>
      <c r="M103" s="1948"/>
      <c r="N103" s="1948"/>
      <c r="O103" s="1948"/>
      <c r="P103" s="1948"/>
      <c r="Q103" s="1948"/>
      <c r="R103" s="1948"/>
      <c r="S103" s="1303"/>
      <c r="T103" s="1303"/>
      <c r="U103" s="1303"/>
      <c r="V103" s="1303"/>
      <c r="W103" s="1949"/>
      <c r="X103" s="1268"/>
      <c r="Y103" s="1268"/>
      <c r="Z103" s="1268"/>
      <c r="AA103" s="1268"/>
      <c r="AB103" s="1268"/>
      <c r="AC103" s="1268"/>
      <c r="AD103" s="1268"/>
      <c r="AE103" s="1268"/>
      <c r="AF103" s="1268"/>
      <c r="AG103" s="1268"/>
      <c r="AH103" s="1268"/>
      <c r="AI103" s="1268"/>
      <c r="AJ103" s="1268"/>
      <c r="AK103" s="1268"/>
      <c r="AL103" s="1268"/>
      <c r="AM103" s="1268"/>
      <c r="AN103" s="1268"/>
      <c r="AO103" s="1268"/>
      <c r="AP103" s="1268"/>
      <c r="AQ103" s="1268"/>
      <c r="AR103" s="1469">
        <v>0</v>
      </c>
    </row>
    <row s="1855" customFormat="1" customHeight="1" ht="11.25" hidden="1">
      <c r="A104" s="279"/>
      <c r="B104" s="279"/>
      <c r="Y104" s="1261"/>
      <c r="Z104" s="1261"/>
      <c r="AA104" s="1261"/>
      <c r="AB104" s="1261"/>
      <c r="AC104" s="1261"/>
      <c r="AD104" s="1261"/>
      <c r="AE104" s="1261"/>
      <c r="AF104" s="1261"/>
      <c r="AG104" s="1261"/>
      <c r="AH104" s="1261"/>
      <c r="AI104" s="1261"/>
      <c r="AJ104" s="1261"/>
      <c r="AK104" s="1261"/>
      <c r="AL104" s="1261"/>
      <c r="AM104" s="1261"/>
      <c r="AN104" s="1261"/>
      <c r="AO104" s="1261"/>
      <c r="AP104" s="1261"/>
      <c r="AQ104" s="1261"/>
      <c r="AR104" s="1469">
        <v>0</v>
      </c>
    </row>
    <row s="1855" customFormat="1" customHeight="1" ht="17.25" hidden="1">
      <c r="A105" s="323"/>
      <c r="C105" s="211"/>
      <c r="D105" s="2137">
        <v>1</v>
      </c>
      <c r="E105" s="2145" t="s">
        <v>249</v>
      </c>
      <c r="F105" s="2147" t="s">
        <v>19</v>
      </c>
      <c r="G105" s="2145"/>
      <c r="H105" s="2150"/>
      <c r="I105" s="2152"/>
      <c r="J105" s="2154"/>
      <c r="K105" s="2139"/>
      <c r="L105" s="2139"/>
      <c r="M105" s="2139"/>
      <c r="N105" s="2141"/>
      <c r="O105" s="2139"/>
      <c r="P105" s="2139"/>
      <c r="Q105" s="2139"/>
      <c r="R105" s="2144"/>
      <c r="S105" s="2139"/>
      <c r="T105" s="1472"/>
      <c r="U105" s="1472"/>
      <c r="V105" s="1474"/>
      <c r="W105" s="1298"/>
      <c r="Y105" s="1269"/>
      <c r="Z105" s="1269"/>
      <c r="AA105" s="1269"/>
      <c r="AB105" s="1269"/>
      <c r="AC105" s="1269" t="s">
        <v>250</v>
      </c>
      <c r="AD105" s="1269" t="s">
        <v>251</v>
      </c>
      <c r="AE105" s="1269" t="s">
        <v>252</v>
      </c>
      <c r="AF105" s="1269" t="s">
        <v>253</v>
      </c>
      <c r="AG105" s="1269"/>
      <c r="AH105" s="1269" t="str">
        <f>IF($E$105=0,"",$E$105)</f>
        <v>Тариф на горячую воду (горячее водоснабжение)</v>
      </c>
      <c r="AI105" s="1269" t="str">
        <f>IF($G$105=0,"",$G$105)</f>
        <v/>
      </c>
      <c r="AJ105" s="1269" t="str">
        <f>IF($J$105=0,"",$J$105)</f>
        <v/>
      </c>
      <c r="AK105" s="1269" t="str">
        <f>IF($K$105="нет","без дифференциации",IF($N$105=0,"",$N$105))</f>
        <v/>
      </c>
      <c r="AL105" s="1269" t="str">
        <f>IF($O$105="нет","без дифференциации",IF($R$105=0,"",$R$105))</f>
        <v/>
      </c>
      <c r="AM105" s="1269" t="str">
        <f>IF($S$105="нет","без дифференциации",IF($V$105=0,"",$V$105))</f>
        <v/>
      </c>
      <c r="AN105" s="1269">
        <f>$I$105</f>
        <v>0</v>
      </c>
      <c r="AO105" s="1269" t="str">
        <f>$I$105&amp;"."&amp;$M$105</f>
        <v>.</v>
      </c>
      <c r="AP105" s="1269" t="str">
        <f>$I$105&amp;"."&amp;$M$105&amp;"."&amp;$Q$105</f>
        <v>..</v>
      </c>
      <c r="AQ105" s="1269" t="str">
        <f>$I$105&amp;"."&amp;$M$105&amp;"."&amp;$Q$105&amp;"."&amp;$U$105</f>
        <v>...</v>
      </c>
      <c r="AR105" s="1469">
        <v>0</v>
      </c>
    </row>
    <row s="1855" customFormat="1" customHeight="1" ht="17.25" hidden="1">
      <c r="A106" s="323"/>
      <c r="C106" s="322"/>
      <c r="D106" s="2137"/>
      <c r="E106" s="2145"/>
      <c r="F106" s="2148"/>
      <c r="G106" s="2145"/>
      <c r="H106" s="2151"/>
      <c r="I106" s="2153"/>
      <c r="J106" s="2155"/>
      <c r="K106" s="2140"/>
      <c r="L106" s="2140"/>
      <c r="M106" s="2140"/>
      <c r="N106" s="2142"/>
      <c r="O106" s="2140"/>
      <c r="P106" s="2140"/>
      <c r="Q106" s="2140"/>
      <c r="R106" s="2143"/>
      <c r="S106" s="2140"/>
      <c r="T106" s="1299"/>
      <c r="U106" s="1299"/>
      <c r="V106" s="1299"/>
      <c r="W106" s="1300"/>
      <c r="Y106" s="1261"/>
      <c r="Z106" s="1261"/>
      <c r="AA106" s="1261"/>
      <c r="AB106" s="1261"/>
      <c r="AC106" s="1261"/>
      <c r="AD106" s="1261"/>
      <c r="AE106" s="1261"/>
      <c r="AF106" s="1261"/>
      <c r="AG106" s="1261"/>
      <c r="AH106" s="1261"/>
      <c r="AI106" s="1261"/>
      <c r="AJ106" s="1261"/>
      <c r="AK106" s="1261"/>
      <c r="AL106" s="1261"/>
      <c r="AM106" s="1261"/>
      <c r="AN106" s="1261"/>
      <c r="AO106" s="1261"/>
      <c r="AP106" s="1261"/>
      <c r="AQ106" s="1261"/>
      <c r="AR106" s="1469">
        <v>0</v>
      </c>
    </row>
    <row s="1855" customFormat="1" customHeight="1" ht="17.25" hidden="1">
      <c r="A107" s="323"/>
      <c r="C107" s="211"/>
      <c r="D107" s="2137"/>
      <c r="E107" s="2145"/>
      <c r="F107" s="2148"/>
      <c r="G107" s="2145"/>
      <c r="H107" s="2151"/>
      <c r="I107" s="2153"/>
      <c r="J107" s="2156"/>
      <c r="K107" s="2140"/>
      <c r="L107" s="2140"/>
      <c r="M107" s="2140"/>
      <c r="N107" s="2143"/>
      <c r="O107" s="2140"/>
      <c r="P107" s="1473"/>
      <c r="Q107" s="1299"/>
      <c r="R107" s="1299"/>
      <c r="S107" s="331"/>
      <c r="T107" s="331"/>
      <c r="U107" s="331"/>
      <c r="V107" s="331"/>
      <c r="W107" s="1300"/>
      <c r="Y107" s="1269"/>
      <c r="Z107" s="1269"/>
      <c r="AA107" s="1269"/>
      <c r="AB107" s="1269"/>
      <c r="AC107" s="1269"/>
      <c r="AD107" s="1269"/>
      <c r="AE107" s="1269"/>
      <c r="AF107" s="1269"/>
      <c r="AG107" s="1269"/>
      <c r="AH107" s="1269"/>
      <c r="AI107" s="1269"/>
      <c r="AJ107" s="1269"/>
      <c r="AK107" s="1269"/>
      <c r="AL107" s="1269"/>
      <c r="AM107" s="1269"/>
      <c r="AN107" s="1269"/>
      <c r="AO107" s="1269"/>
      <c r="AP107" s="1269"/>
      <c r="AQ107" s="1269"/>
      <c r="AR107" s="1469">
        <v>0</v>
      </c>
    </row>
    <row s="1855" customFormat="1" customHeight="1" ht="17.25" hidden="1">
      <c r="A108" s="323"/>
      <c r="C108" s="322"/>
      <c r="D108" s="2137"/>
      <c r="E108" s="2145"/>
      <c r="F108" s="2148"/>
      <c r="G108" s="2145"/>
      <c r="H108" s="2151"/>
      <c r="I108" s="2153"/>
      <c r="J108" s="2156"/>
      <c r="K108" s="2140"/>
      <c r="L108" s="1299"/>
      <c r="M108" s="1299"/>
      <c r="N108" s="1299"/>
      <c r="O108" s="1299"/>
      <c r="P108" s="1299"/>
      <c r="Q108" s="1299"/>
      <c r="R108" s="1299"/>
      <c r="S108" s="331"/>
      <c r="T108" s="331"/>
      <c r="U108" s="331"/>
      <c r="V108" s="331"/>
      <c r="W108" s="1300"/>
      <c r="Y108" s="1261"/>
      <c r="Z108" s="1261"/>
      <c r="AA108" s="1261"/>
      <c r="AB108" s="1261"/>
      <c r="AC108" s="1261"/>
      <c r="AD108" s="1261"/>
      <c r="AE108" s="1261"/>
      <c r="AF108" s="1261"/>
      <c r="AG108" s="1261"/>
      <c r="AH108" s="1261"/>
      <c r="AI108" s="1261"/>
      <c r="AJ108" s="1261"/>
      <c r="AK108" s="1261"/>
      <c r="AL108" s="1261"/>
      <c r="AM108" s="1261"/>
      <c r="AN108" s="1261"/>
      <c r="AO108" s="1261"/>
      <c r="AP108" s="1261"/>
      <c r="AQ108" s="1261"/>
      <c r="AR108" s="1469">
        <v>0</v>
      </c>
    </row>
    <row s="1855" customFormat="1" customHeight="1" ht="17.25" hidden="1">
      <c r="A109" s="323"/>
      <c r="C109" s="322"/>
      <c r="D109" s="2138"/>
      <c r="E109" s="2146"/>
      <c r="F109" s="2149"/>
      <c r="G109" s="2146"/>
      <c r="H109" s="1301"/>
      <c r="I109" s="1302"/>
      <c r="J109" s="1302"/>
      <c r="K109" s="1302"/>
      <c r="L109" s="1302"/>
      <c r="M109" s="1302"/>
      <c r="N109" s="1302"/>
      <c r="O109" s="1302"/>
      <c r="P109" s="1302"/>
      <c r="Q109" s="1302"/>
      <c r="R109" s="1302"/>
      <c r="S109" s="1303"/>
      <c r="T109" s="1303"/>
      <c r="U109" s="1303"/>
      <c r="V109" s="1303"/>
      <c r="W109" s="1304"/>
      <c r="Y109" s="1261"/>
      <c r="Z109" s="1261"/>
      <c r="AA109" s="1261"/>
      <c r="AB109" s="1261"/>
      <c r="AC109" s="1261"/>
      <c r="AD109" s="1261"/>
      <c r="AE109" s="1261"/>
      <c r="AF109" s="1261"/>
      <c r="AG109" s="1261"/>
      <c r="AH109" s="1261"/>
      <c r="AI109" s="1261"/>
      <c r="AJ109" s="1261"/>
      <c r="AK109" s="1261"/>
      <c r="AL109" s="1261"/>
      <c r="AM109" s="1261"/>
      <c r="AN109" s="1261"/>
      <c r="AO109" s="1261"/>
      <c r="AP109" s="1261"/>
      <c r="AQ109" s="1261"/>
      <c r="AR109" s="1469">
        <v>0</v>
      </c>
    </row>
    <row s="1855" customFormat="1" customHeight="1" ht="17.25" hidden="1">
      <c r="A110" s="323"/>
      <c r="C110" s="211"/>
      <c r="D110" s="2137">
        <v>2</v>
      </c>
      <c r="E110" s="2145" t="s">
        <v>254</v>
      </c>
      <c r="F110" s="2147" t="s">
        <v>19</v>
      </c>
      <c r="G110" s="2145"/>
      <c r="H110" s="2150"/>
      <c r="I110" s="2152"/>
      <c r="J110" s="2154"/>
      <c r="K110" s="2139"/>
      <c r="L110" s="2139"/>
      <c r="M110" s="2139"/>
      <c r="N110" s="2141"/>
      <c r="O110" s="2139"/>
      <c r="P110" s="2139"/>
      <c r="Q110" s="2139"/>
      <c r="R110" s="2144"/>
      <c r="S110" s="2139"/>
      <c r="T110" s="1472"/>
      <c r="U110" s="1472"/>
      <c r="V110" s="1474"/>
      <c r="W110" s="1298"/>
      <c r="X110" s="1269"/>
      <c r="Y110" s="1269"/>
      <c r="Z110" s="1269"/>
      <c r="AA110" s="1269"/>
      <c r="AB110" s="1269"/>
      <c r="AC110" s="1269" t="s">
        <v>255</v>
      </c>
      <c r="AD110" s="1269" t="s">
        <v>256</v>
      </c>
      <c r="AE110" s="1269" t="s">
        <v>257</v>
      </c>
      <c r="AF110" s="1269" t="s">
        <v>258</v>
      </c>
      <c r="AG110" s="1269"/>
      <c r="AH110" s="1269" t="str">
        <f>IF($E$110=0,"",$E$110)</f>
        <v>Тариф на транспортировку горячей воды</v>
      </c>
      <c r="AI110" s="1269" t="str">
        <f>IF($G$110=0,"",$G$110)</f>
        <v/>
      </c>
      <c r="AJ110" s="1269" t="str">
        <f>IF($J$110=0,"",$J$110)</f>
        <v/>
      </c>
      <c r="AK110" s="1269" t="str">
        <f>IF($K$110="нет","без дифференциации",IF($N$110=0,"",$N$110))</f>
        <v/>
      </c>
      <c r="AL110" s="1269" t="str">
        <f>IF($O$110="нет","без дифференциации",IF($R$110=0,"",$R$110))</f>
        <v/>
      </c>
      <c r="AM110" s="1269" t="str">
        <f>IF($S$110="нет","без дифференциации",IF($V$110=0,"",$V$110))</f>
        <v/>
      </c>
      <c r="AN110" s="1774">
        <f>$I$110</f>
        <v>0</v>
      </c>
      <c r="AO110" s="1269" t="str">
        <f>$I$110&amp;"."&amp;$M$110</f>
        <v>.</v>
      </c>
      <c r="AP110" s="1261" t="str">
        <f>$I$110&amp;"."&amp;$M$110&amp;"."&amp;$Q$110</f>
        <v>..</v>
      </c>
      <c r="AQ110" s="1261" t="str">
        <f>$I$110&amp;"."&amp;$M$110&amp;"."&amp;$Q$110&amp;"."&amp;$U$110</f>
        <v>...</v>
      </c>
      <c r="AR110" s="1469">
        <v>0</v>
      </c>
    </row>
    <row s="1855" customFormat="1" customHeight="1" ht="17.25" hidden="1">
      <c r="A111" s="323"/>
      <c r="C111" s="322"/>
      <c r="D111" s="2137"/>
      <c r="E111" s="2145"/>
      <c r="F111" s="2148"/>
      <c r="G111" s="2145"/>
      <c r="H111" s="2151"/>
      <c r="I111" s="2153"/>
      <c r="J111" s="2155"/>
      <c r="K111" s="2140"/>
      <c r="L111" s="2140"/>
      <c r="M111" s="2140"/>
      <c r="N111" s="2142"/>
      <c r="O111" s="2140"/>
      <c r="P111" s="2140"/>
      <c r="Q111" s="2140"/>
      <c r="R111" s="2143"/>
      <c r="S111" s="2140"/>
      <c r="T111" s="1299"/>
      <c r="U111" s="1299"/>
      <c r="V111" s="1299"/>
      <c r="W111" s="1300"/>
      <c r="X111" s="1261"/>
      <c r="Y111" s="1261"/>
      <c r="Z111" s="1261"/>
      <c r="AA111" s="1261"/>
      <c r="AB111" s="1261"/>
      <c r="AC111" s="1261"/>
      <c r="AD111" s="1261"/>
      <c r="AE111" s="1261"/>
      <c r="AF111" s="1261"/>
      <c r="AG111" s="1261"/>
      <c r="AH111" s="1261"/>
      <c r="AI111" s="1261"/>
      <c r="AJ111" s="1261"/>
      <c r="AK111" s="1261"/>
      <c r="AL111" s="1261"/>
      <c r="AM111" s="1261"/>
      <c r="AN111" s="1261"/>
      <c r="AO111" s="1261"/>
      <c r="AP111" s="1261"/>
      <c r="AQ111" s="1261"/>
      <c r="AR111" s="1469">
        <v>0</v>
      </c>
    </row>
    <row s="1855" customFormat="1" customHeight="1" ht="17.25" hidden="1">
      <c r="A112" s="323"/>
      <c r="C112" s="322"/>
      <c r="D112" s="2138"/>
      <c r="E112" s="2146"/>
      <c r="F112" s="2148"/>
      <c r="G112" s="2146"/>
      <c r="H112" s="2151"/>
      <c r="I112" s="2153"/>
      <c r="J112" s="2156"/>
      <c r="K112" s="2140"/>
      <c r="L112" s="2140"/>
      <c r="M112" s="2140"/>
      <c r="N112" s="2143"/>
      <c r="O112" s="2140"/>
      <c r="P112" s="1473"/>
      <c r="Q112" s="1299"/>
      <c r="R112" s="1299"/>
      <c r="S112" s="331"/>
      <c r="T112" s="331"/>
      <c r="U112" s="331"/>
      <c r="V112" s="331"/>
      <c r="W112" s="1300"/>
      <c r="X112" s="1261"/>
      <c r="Y112" s="1261"/>
      <c r="Z112" s="1261"/>
      <c r="AA112" s="1261"/>
      <c r="AB112" s="1261"/>
      <c r="AC112" s="1261"/>
      <c r="AD112" s="1261"/>
      <c r="AE112" s="1261"/>
      <c r="AF112" s="1261"/>
      <c r="AG112" s="1261"/>
      <c r="AH112" s="1261"/>
      <c r="AI112" s="1261"/>
      <c r="AJ112" s="1261"/>
      <c r="AK112" s="1261"/>
      <c r="AL112" s="1261"/>
      <c r="AM112" s="1261"/>
      <c r="AN112" s="1261"/>
      <c r="AO112" s="1261"/>
      <c r="AP112" s="1261"/>
      <c r="AQ112" s="1261"/>
      <c r="AR112" s="1469">
        <v>0</v>
      </c>
    </row>
    <row s="1855" customFormat="1" customHeight="1" ht="17.25" hidden="1">
      <c r="A113" s="323"/>
      <c r="C113" s="322"/>
      <c r="D113" s="2138"/>
      <c r="E113" s="2146"/>
      <c r="F113" s="2148"/>
      <c r="G113" s="2146"/>
      <c r="H113" s="2151"/>
      <c r="I113" s="2153"/>
      <c r="J113" s="2156"/>
      <c r="K113" s="2140"/>
      <c r="L113" s="1299"/>
      <c r="M113" s="1299"/>
      <c r="N113" s="1299"/>
      <c r="O113" s="1299"/>
      <c r="P113" s="1299"/>
      <c r="Q113" s="1299"/>
      <c r="R113" s="1299"/>
      <c r="S113" s="331"/>
      <c r="T113" s="331"/>
      <c r="U113" s="331"/>
      <c r="V113" s="331"/>
      <c r="W113" s="1300"/>
      <c r="X113" s="1261"/>
      <c r="Y113" s="1261"/>
      <c r="Z113" s="1261"/>
      <c r="AA113" s="1261"/>
      <c r="AB113" s="1261"/>
      <c r="AC113" s="1261"/>
      <c r="AD113" s="1261"/>
      <c r="AE113" s="1261"/>
      <c r="AF113" s="1261"/>
      <c r="AG113" s="1261"/>
      <c r="AH113" s="1261"/>
      <c r="AI113" s="1261"/>
      <c r="AJ113" s="1261"/>
      <c r="AK113" s="1261"/>
      <c r="AL113" s="1261"/>
      <c r="AM113" s="1261"/>
      <c r="AN113" s="1261"/>
      <c r="AO113" s="1261"/>
      <c r="AP113" s="1261"/>
      <c r="AQ113" s="1261"/>
      <c r="AR113" s="1469">
        <v>0</v>
      </c>
    </row>
    <row s="1855" customFormat="1" customHeight="1" ht="17.25" hidden="1">
      <c r="A114" s="323"/>
      <c r="C114" s="322"/>
      <c r="D114" s="2138"/>
      <c r="E114" s="2146"/>
      <c r="F114" s="2149"/>
      <c r="G114" s="2146"/>
      <c r="H114" s="1301"/>
      <c r="I114" s="1302"/>
      <c r="J114" s="1302"/>
      <c r="K114" s="1302"/>
      <c r="L114" s="1302"/>
      <c r="M114" s="1302"/>
      <c r="N114" s="1302"/>
      <c r="O114" s="1302"/>
      <c r="P114" s="1302"/>
      <c r="Q114" s="1302"/>
      <c r="R114" s="1302"/>
      <c r="S114" s="1303"/>
      <c r="T114" s="1303"/>
      <c r="U114" s="1303"/>
      <c r="V114" s="1303"/>
      <c r="W114" s="1304"/>
      <c r="X114" s="1261"/>
      <c r="Y114" s="1261"/>
      <c r="Z114" s="1261"/>
      <c r="AA114" s="1261"/>
      <c r="AB114" s="1261"/>
      <c r="AC114" s="1261"/>
      <c r="AD114" s="1261"/>
      <c r="AE114" s="1261"/>
      <c r="AF114" s="1261"/>
      <c r="AG114" s="1261"/>
      <c r="AH114" s="1261"/>
      <c r="AI114" s="1261"/>
      <c r="AJ114" s="1261"/>
      <c r="AK114" s="1261"/>
      <c r="AL114" s="1261"/>
      <c r="AM114" s="1261"/>
      <c r="AN114" s="1261"/>
      <c r="AO114" s="1261"/>
      <c r="AP114" s="1261"/>
      <c r="AQ114" s="1261"/>
      <c r="AR114" s="1469">
        <v>0</v>
      </c>
    </row>
    <row s="1855" customFormat="1" customHeight="1" ht="17.25" hidden="1">
      <c r="A115" s="323"/>
      <c r="C115" s="211"/>
      <c r="D115" s="2137">
        <v>3</v>
      </c>
      <c r="E115" s="2145" t="s">
        <v>259</v>
      </c>
      <c r="F115" s="2147" t="s">
        <v>19</v>
      </c>
      <c r="G115" s="2145"/>
      <c r="H115" s="2150"/>
      <c r="I115" s="2152"/>
      <c r="J115" s="2154"/>
      <c r="K115" s="2139"/>
      <c r="L115" s="2139"/>
      <c r="M115" s="2139"/>
      <c r="N115" s="2141"/>
      <c r="O115" s="2139"/>
      <c r="P115" s="2139"/>
      <c r="Q115" s="2139"/>
      <c r="R115" s="2144"/>
      <c r="S115" s="2139"/>
      <c r="T115" s="1945"/>
      <c r="U115" s="1945"/>
      <c r="V115" s="1947"/>
      <c r="W115" s="1298"/>
      <c r="X115" s="1269"/>
      <c r="Y115" s="1269"/>
      <c r="Z115" s="1269"/>
      <c r="AA115" s="1269"/>
      <c r="AB115" s="1269"/>
      <c r="AC115" s="1269" t="s">
        <v>260</v>
      </c>
      <c r="AD115" s="1269" t="s">
        <v>261</v>
      </c>
      <c r="AE115" s="1269" t="s">
        <v>262</v>
      </c>
      <c r="AF115" s="1269" t="s">
        <v>263</v>
      </c>
      <c r="AG115" s="1269"/>
      <c r="AH115" s="1269" t="str">
        <f>IF($E$115=0,"",$E$115)</f>
        <v>Тариф на подключение (технологическое присоединение) к централизованной системе горячего водоснабжения</v>
      </c>
      <c r="AI115" s="1269" t="str">
        <f>IF($G$115=0,"",$G$115)</f>
        <v/>
      </c>
      <c r="AJ115" s="1269" t="str">
        <f>IF($J$115=0,"",$J$115)</f>
        <v/>
      </c>
      <c r="AK115" s="1269" t="str">
        <f>IF($K$115="нет","без дифференциации",IF($N$115=0,"",$N$115))</f>
        <v/>
      </c>
      <c r="AL115" s="1269" t="str">
        <f>IF($O$115="нет","без дифференциации",IF($R$115=0,"",$R$115))</f>
        <v/>
      </c>
      <c r="AM115" s="1269" t="str">
        <f>IF($S$115="нет","без дифференциации",IF($V$115=0,"",$V$115))</f>
        <v/>
      </c>
      <c r="AN115" s="1774">
        <f>$I$115</f>
        <v>0</v>
      </c>
      <c r="AO115" s="1269" t="str">
        <f>$I$115&amp;"."&amp;$M$115</f>
        <v>.</v>
      </c>
      <c r="AP115" s="1268" t="str">
        <f>$I$115&amp;"."&amp;$M$115&amp;"."&amp;$Q$115</f>
        <v>..</v>
      </c>
      <c r="AQ115" s="1268" t="str">
        <f>$I$115&amp;"."&amp;$M$115&amp;"."&amp;$Q$115&amp;"."&amp;$U$115</f>
        <v>...</v>
      </c>
      <c r="AR115" s="1469">
        <v>0</v>
      </c>
    </row>
    <row s="1855" customFormat="1" customHeight="1" ht="17.25" hidden="1">
      <c r="A116" s="323"/>
      <c r="C116" s="322"/>
      <c r="D116" s="2137"/>
      <c r="E116" s="2145"/>
      <c r="F116" s="2148"/>
      <c r="G116" s="2145"/>
      <c r="H116" s="2151"/>
      <c r="I116" s="2153"/>
      <c r="J116" s="2155"/>
      <c r="K116" s="2140"/>
      <c r="L116" s="2140"/>
      <c r="M116" s="2140"/>
      <c r="N116" s="2142"/>
      <c r="O116" s="2140"/>
      <c r="P116" s="2140"/>
      <c r="Q116" s="2140"/>
      <c r="R116" s="2143"/>
      <c r="S116" s="2140"/>
      <c r="T116" s="1950"/>
      <c r="U116" s="1950"/>
      <c r="V116" s="1950"/>
      <c r="W116" s="1951"/>
      <c r="X116" s="1268"/>
      <c r="Y116" s="1268"/>
      <c r="Z116" s="1268"/>
      <c r="AA116" s="1268"/>
      <c r="AB116" s="1268"/>
      <c r="AC116" s="1268"/>
      <c r="AD116" s="1268"/>
      <c r="AE116" s="1268"/>
      <c r="AF116" s="1268"/>
      <c r="AG116" s="1268"/>
      <c r="AH116" s="1268"/>
      <c r="AI116" s="1268"/>
      <c r="AJ116" s="1268"/>
      <c r="AK116" s="1268"/>
      <c r="AL116" s="1268"/>
      <c r="AM116" s="1268"/>
      <c r="AN116" s="1268"/>
      <c r="AO116" s="1268"/>
      <c r="AP116" s="1268"/>
      <c r="AQ116" s="1268"/>
      <c r="AR116" s="1469">
        <v>0</v>
      </c>
    </row>
    <row s="1855" customFormat="1" customHeight="1" ht="17.25" hidden="1">
      <c r="A117" s="323"/>
      <c r="C117" s="322"/>
      <c r="D117" s="2138"/>
      <c r="E117" s="2146"/>
      <c r="F117" s="2148"/>
      <c r="G117" s="2146"/>
      <c r="H117" s="2151"/>
      <c r="I117" s="2153"/>
      <c r="J117" s="2156"/>
      <c r="K117" s="2140"/>
      <c r="L117" s="2140"/>
      <c r="M117" s="2140"/>
      <c r="N117" s="2143"/>
      <c r="O117" s="2140"/>
      <c r="P117" s="1946"/>
      <c r="Q117" s="1950"/>
      <c r="R117" s="1950"/>
      <c r="S117" s="331"/>
      <c r="T117" s="331"/>
      <c r="U117" s="331"/>
      <c r="V117" s="331"/>
      <c r="W117" s="1951"/>
      <c r="X117" s="1268"/>
      <c r="Y117" s="1268"/>
      <c r="Z117" s="1268"/>
      <c r="AA117" s="1268"/>
      <c r="AB117" s="1268"/>
      <c r="AC117" s="1268"/>
      <c r="AD117" s="1268"/>
      <c r="AE117" s="1268"/>
      <c r="AF117" s="1268"/>
      <c r="AG117" s="1268"/>
      <c r="AH117" s="1268"/>
      <c r="AI117" s="1268"/>
      <c r="AJ117" s="1268"/>
      <c r="AK117" s="1268"/>
      <c r="AL117" s="1268"/>
      <c r="AM117" s="1268"/>
      <c r="AN117" s="1268"/>
      <c r="AO117" s="1268"/>
      <c r="AP117" s="1268"/>
      <c r="AQ117" s="1268"/>
      <c r="AR117" s="1469">
        <v>0</v>
      </c>
    </row>
    <row s="1855" customFormat="1" customHeight="1" ht="17.25" hidden="1">
      <c r="A118" s="323"/>
      <c r="C118" s="322"/>
      <c r="D118" s="2138"/>
      <c r="E118" s="2146"/>
      <c r="F118" s="2148"/>
      <c r="G118" s="2146"/>
      <c r="H118" s="2151"/>
      <c r="I118" s="2153"/>
      <c r="J118" s="2156"/>
      <c r="K118" s="2140"/>
      <c r="L118" s="1950"/>
      <c r="M118" s="1950"/>
      <c r="N118" s="1950"/>
      <c r="O118" s="1950"/>
      <c r="P118" s="1950"/>
      <c r="Q118" s="1950"/>
      <c r="R118" s="1950"/>
      <c r="S118" s="331"/>
      <c r="T118" s="331"/>
      <c r="U118" s="331"/>
      <c r="V118" s="331"/>
      <c r="W118" s="1951"/>
      <c r="X118" s="1268"/>
      <c r="Y118" s="1268"/>
      <c r="Z118" s="1268"/>
      <c r="AA118" s="1268"/>
      <c r="AB118" s="1268"/>
      <c r="AC118" s="1268"/>
      <c r="AD118" s="1268"/>
      <c r="AE118" s="1268"/>
      <c r="AF118" s="1268"/>
      <c r="AG118" s="1268"/>
      <c r="AH118" s="1268"/>
      <c r="AI118" s="1268"/>
      <c r="AJ118" s="1268"/>
      <c r="AK118" s="1268"/>
      <c r="AL118" s="1268"/>
      <c r="AM118" s="1268"/>
      <c r="AN118" s="1268"/>
      <c r="AO118" s="1268"/>
      <c r="AP118" s="1268"/>
      <c r="AQ118" s="1268"/>
      <c r="AR118" s="1469">
        <v>0</v>
      </c>
    </row>
    <row s="1855" customFormat="1" customHeight="1" ht="17.25" hidden="1">
      <c r="A119" s="323"/>
      <c r="C119" s="322"/>
      <c r="D119" s="2138"/>
      <c r="E119" s="2146"/>
      <c r="F119" s="2149"/>
      <c r="G119" s="2146"/>
      <c r="H119" s="1301"/>
      <c r="I119" s="1948"/>
      <c r="J119" s="1948"/>
      <c r="K119" s="1948"/>
      <c r="L119" s="1948"/>
      <c r="M119" s="1948"/>
      <c r="N119" s="1948"/>
      <c r="O119" s="1948"/>
      <c r="P119" s="1948"/>
      <c r="Q119" s="1948"/>
      <c r="R119" s="1948"/>
      <c r="S119" s="1303"/>
      <c r="T119" s="1303"/>
      <c r="U119" s="1303"/>
      <c r="V119" s="1303"/>
      <c r="W119" s="1949"/>
      <c r="X119" s="1268"/>
      <c r="Y119" s="1268"/>
      <c r="Z119" s="1268"/>
      <c r="AA119" s="1268"/>
      <c r="AB119" s="1268"/>
      <c r="AC119" s="1268"/>
      <c r="AD119" s="1268"/>
      <c r="AE119" s="1268"/>
      <c r="AF119" s="1268"/>
      <c r="AG119" s="1268"/>
      <c r="AH119" s="1268"/>
      <c r="AI119" s="1268"/>
      <c r="AJ119" s="1268"/>
      <c r="AK119" s="1268"/>
      <c r="AL119" s="1268"/>
      <c r="AM119" s="1268"/>
      <c r="AN119" s="1268"/>
      <c r="AO119" s="1268"/>
      <c r="AP119" s="1268"/>
      <c r="AQ119" s="1268"/>
      <c r="AR119" s="1469">
        <v>0</v>
      </c>
    </row>
    <row s="1855" customFormat="1" customHeight="1" ht="11.25" hidden="1">
      <c r="A120" s="279"/>
      <c r="B120" s="279"/>
      <c r="Y120" s="1261"/>
      <c r="Z120" s="1261"/>
      <c r="AA120" s="1261"/>
      <c r="AB120" s="1261"/>
      <c r="AC120" s="1261"/>
      <c r="AD120" s="1261"/>
      <c r="AE120" s="1261"/>
      <c r="AF120" s="1261"/>
      <c r="AG120" s="1261"/>
      <c r="AH120" s="1261"/>
      <c r="AI120" s="1261"/>
      <c r="AJ120" s="1261"/>
      <c r="AK120" s="1261"/>
      <c r="AL120" s="1261"/>
      <c r="AM120" s="1261"/>
      <c r="AN120" s="1261"/>
      <c r="AO120" s="1261"/>
      <c r="AP120" s="1261"/>
      <c r="AQ120" s="1261"/>
      <c r="AR120" s="1469">
        <v>0</v>
      </c>
    </row>
    <row s="1855" customFormat="1" customHeight="1" ht="17.25" hidden="1">
      <c r="A121" s="323"/>
      <c r="C121" s="211"/>
      <c r="D121" s="2137">
        <v>1</v>
      </c>
      <c r="E121" s="2145" t="s">
        <v>264</v>
      </c>
      <c r="F121" s="2147" t="s">
        <v>19</v>
      </c>
      <c r="G121" s="2145"/>
      <c r="H121" s="2150"/>
      <c r="I121" s="2152"/>
      <c r="J121" s="2154"/>
      <c r="K121" s="2139"/>
      <c r="L121" s="2139"/>
      <c r="M121" s="2139"/>
      <c r="N121" s="2141"/>
      <c r="O121" s="2139"/>
      <c r="P121" s="2139"/>
      <c r="Q121" s="2139"/>
      <c r="R121" s="2144"/>
      <c r="S121" s="2139"/>
      <c r="T121" s="1472"/>
      <c r="U121" s="1472"/>
      <c r="V121" s="1474"/>
      <c r="W121" s="1298"/>
      <c r="Y121" s="1269"/>
      <c r="Z121" s="1269"/>
      <c r="AA121" s="1269"/>
      <c r="AB121" s="1269"/>
      <c r="AC121" s="1269" t="s">
        <v>265</v>
      </c>
      <c r="AD121" s="1269" t="s">
        <v>266</v>
      </c>
      <c r="AE121" s="1269" t="s">
        <v>267</v>
      </c>
      <c r="AF121" s="1269" t="s">
        <v>268</v>
      </c>
      <c r="AG121" s="1269"/>
      <c r="AH121" s="1269" t="str">
        <f>IF($E$121=0,"",$E$121)</f>
        <v>Тариф на водоотведение</v>
      </c>
      <c r="AI121" s="1269" t="str">
        <f>IF($G$121=0,"",$G$121)</f>
        <v/>
      </c>
      <c r="AJ121" s="1269" t="str">
        <f>IF($J$121=0,"",$J$121)</f>
        <v/>
      </c>
      <c r="AK121" s="1269" t="str">
        <f>IF($K$121="нет","без дифференциации",IF($N$121=0,"",$N$121))</f>
        <v/>
      </c>
      <c r="AL121" s="1269" t="str">
        <f>IF($O$121="нет","без дифференциации",IF($R$121=0,"",$R$121))</f>
        <v/>
      </c>
      <c r="AM121" s="1269" t="str">
        <f>IF($S$121="нет","без дифференциации",IF($V$121=0,"",$V$121))</f>
        <v/>
      </c>
      <c r="AN121" s="1269">
        <f>$I$121</f>
        <v>0</v>
      </c>
      <c r="AO121" s="1269" t="str">
        <f>$I$121&amp;"."&amp;$M$121</f>
        <v>.</v>
      </c>
      <c r="AP121" s="1269" t="str">
        <f>$I$121&amp;"."&amp;$M$121&amp;"."&amp;$Q$121</f>
        <v>..</v>
      </c>
      <c r="AQ121" s="1269" t="str">
        <f>$I$121&amp;"."&amp;$M$121&amp;"."&amp;$Q$121&amp;"."&amp;$U$121</f>
        <v>...</v>
      </c>
      <c r="AR121" s="1469">
        <v>0</v>
      </c>
    </row>
    <row s="1855" customFormat="1" customHeight="1" ht="17.25" hidden="1">
      <c r="A122" s="323"/>
      <c r="C122" s="322"/>
      <c r="D122" s="2137"/>
      <c r="E122" s="2145"/>
      <c r="F122" s="2148"/>
      <c r="G122" s="2145"/>
      <c r="H122" s="2151"/>
      <c r="I122" s="2153"/>
      <c r="J122" s="2155"/>
      <c r="K122" s="2140"/>
      <c r="L122" s="2140"/>
      <c r="M122" s="2140"/>
      <c r="N122" s="2142"/>
      <c r="O122" s="2140"/>
      <c r="P122" s="2140"/>
      <c r="Q122" s="2140"/>
      <c r="R122" s="2143"/>
      <c r="S122" s="2140"/>
      <c r="T122" s="1299"/>
      <c r="U122" s="1299"/>
      <c r="V122" s="1299"/>
      <c r="W122" s="1300"/>
      <c r="Y122" s="1261"/>
      <c r="Z122" s="1261"/>
      <c r="AA122" s="1261"/>
      <c r="AB122" s="1261"/>
      <c r="AC122" s="1261"/>
      <c r="AD122" s="1261"/>
      <c r="AE122" s="1261"/>
      <c r="AF122" s="1261"/>
      <c r="AG122" s="1261"/>
      <c r="AH122" s="1261"/>
      <c r="AI122" s="1261"/>
      <c r="AJ122" s="1261"/>
      <c r="AK122" s="1261"/>
      <c r="AL122" s="1261"/>
      <c r="AM122" s="1261"/>
      <c r="AN122" s="1261"/>
      <c r="AO122" s="1261"/>
      <c r="AP122" s="1261"/>
      <c r="AQ122" s="1261"/>
      <c r="AR122" s="1469">
        <v>0</v>
      </c>
    </row>
    <row s="1855" customFormat="1" customHeight="1" ht="17.25" hidden="1">
      <c r="A123" s="323"/>
      <c r="C123" s="211"/>
      <c r="D123" s="2137"/>
      <c r="E123" s="2145"/>
      <c r="F123" s="2148"/>
      <c r="G123" s="2145"/>
      <c r="H123" s="2151"/>
      <c r="I123" s="2153"/>
      <c r="J123" s="2156"/>
      <c r="K123" s="2140"/>
      <c r="L123" s="2140"/>
      <c r="M123" s="2140"/>
      <c r="N123" s="2143"/>
      <c r="O123" s="2140"/>
      <c r="P123" s="1473"/>
      <c r="Q123" s="1299"/>
      <c r="R123" s="1299"/>
      <c r="S123" s="331"/>
      <c r="T123" s="331"/>
      <c r="U123" s="331"/>
      <c r="V123" s="331"/>
      <c r="W123" s="1300"/>
      <c r="Y123" s="1269"/>
      <c r="Z123" s="1269"/>
      <c r="AA123" s="1269"/>
      <c r="AB123" s="1269"/>
      <c r="AC123" s="1269"/>
      <c r="AD123" s="1269"/>
      <c r="AE123" s="1269"/>
      <c r="AF123" s="1269"/>
      <c r="AG123" s="1269"/>
      <c r="AH123" s="1269"/>
      <c r="AI123" s="1269"/>
      <c r="AJ123" s="1269"/>
      <c r="AK123" s="1269"/>
      <c r="AL123" s="1269"/>
      <c r="AM123" s="1269"/>
      <c r="AN123" s="1269"/>
      <c r="AO123" s="1269"/>
      <c r="AP123" s="1269"/>
      <c r="AQ123" s="1269"/>
      <c r="AR123" s="1469">
        <v>0</v>
      </c>
    </row>
    <row s="1855" customFormat="1" customHeight="1" ht="17.25" hidden="1">
      <c r="A124" s="323"/>
      <c r="C124" s="322"/>
      <c r="D124" s="2137"/>
      <c r="E124" s="2145"/>
      <c r="F124" s="2148"/>
      <c r="G124" s="2145"/>
      <c r="H124" s="2151"/>
      <c r="I124" s="2153"/>
      <c r="J124" s="2156"/>
      <c r="K124" s="2140"/>
      <c r="L124" s="1299"/>
      <c r="M124" s="1299"/>
      <c r="N124" s="1299"/>
      <c r="O124" s="1299"/>
      <c r="P124" s="1299"/>
      <c r="Q124" s="1299"/>
      <c r="R124" s="1299"/>
      <c r="S124" s="331"/>
      <c r="T124" s="331"/>
      <c r="U124" s="331"/>
      <c r="V124" s="331"/>
      <c r="W124" s="1300"/>
      <c r="Y124" s="1261"/>
      <c r="Z124" s="1261"/>
      <c r="AA124" s="1261"/>
      <c r="AB124" s="1261"/>
      <c r="AC124" s="1261"/>
      <c r="AD124" s="1261"/>
      <c r="AE124" s="1261"/>
      <c r="AF124" s="1261"/>
      <c r="AG124" s="1261"/>
      <c r="AH124" s="1261"/>
      <c r="AI124" s="1261"/>
      <c r="AJ124" s="1261"/>
      <c r="AK124" s="1261"/>
      <c r="AL124" s="1261"/>
      <c r="AM124" s="1261"/>
      <c r="AN124" s="1261"/>
      <c r="AO124" s="1261"/>
      <c r="AP124" s="1261"/>
      <c r="AQ124" s="1261"/>
      <c r="AR124" s="1469">
        <v>0</v>
      </c>
    </row>
    <row s="1855" customFormat="1" customHeight="1" ht="17.25" hidden="1">
      <c r="A125" s="323"/>
      <c r="C125" s="322"/>
      <c r="D125" s="2138"/>
      <c r="E125" s="2146"/>
      <c r="F125" s="2149"/>
      <c r="G125" s="2146"/>
      <c r="H125" s="1301"/>
      <c r="I125" s="1302"/>
      <c r="J125" s="1302"/>
      <c r="K125" s="1302"/>
      <c r="L125" s="1302"/>
      <c r="M125" s="1302"/>
      <c r="N125" s="1302"/>
      <c r="O125" s="1302"/>
      <c r="P125" s="1302"/>
      <c r="Q125" s="1302"/>
      <c r="R125" s="1302"/>
      <c r="S125" s="1303"/>
      <c r="T125" s="1303"/>
      <c r="U125" s="1303"/>
      <c r="V125" s="1303"/>
      <c r="W125" s="1304"/>
      <c r="Y125" s="1261"/>
      <c r="Z125" s="1261"/>
      <c r="AA125" s="1261"/>
      <c r="AB125" s="1261"/>
      <c r="AC125" s="1261"/>
      <c r="AD125" s="1261"/>
      <c r="AE125" s="1261"/>
      <c r="AF125" s="1261"/>
      <c r="AG125" s="1261"/>
      <c r="AH125" s="1261"/>
      <c r="AI125" s="1261"/>
      <c r="AJ125" s="1261"/>
      <c r="AK125" s="1261"/>
      <c r="AL125" s="1261"/>
      <c r="AM125" s="1261"/>
      <c r="AN125" s="1261"/>
      <c r="AO125" s="1261"/>
      <c r="AP125" s="1261"/>
      <c r="AQ125" s="1261"/>
      <c r="AR125" s="1469">
        <v>0</v>
      </c>
    </row>
    <row s="1855" customFormat="1" customHeight="1" ht="17.25" hidden="1">
      <c r="A126" s="323"/>
      <c r="C126" s="211"/>
      <c r="D126" s="2137">
        <v>2</v>
      </c>
      <c r="E126" s="2145" t="s">
        <v>269</v>
      </c>
      <c r="F126" s="2147" t="s">
        <v>19</v>
      </c>
      <c r="G126" s="2145"/>
      <c r="H126" s="2150"/>
      <c r="I126" s="2152"/>
      <c r="J126" s="2154"/>
      <c r="K126" s="2139"/>
      <c r="L126" s="2139"/>
      <c r="M126" s="2139"/>
      <c r="N126" s="2141"/>
      <c r="O126" s="2139"/>
      <c r="P126" s="2139"/>
      <c r="Q126" s="2139"/>
      <c r="R126" s="2144"/>
      <c r="S126" s="2139"/>
      <c r="T126" s="1472"/>
      <c r="U126" s="1472"/>
      <c r="V126" s="1474"/>
      <c r="W126" s="1298"/>
      <c r="X126" s="1269"/>
      <c r="Y126" s="1269"/>
      <c r="Z126" s="1269"/>
      <c r="AA126" s="1269"/>
      <c r="AB126" s="1269"/>
      <c r="AC126" s="1269" t="s">
        <v>270</v>
      </c>
      <c r="AD126" s="1269" t="s">
        <v>271</v>
      </c>
      <c r="AE126" s="1269" t="s">
        <v>272</v>
      </c>
      <c r="AF126" s="1269" t="s">
        <v>273</v>
      </c>
      <c r="AG126" s="1269"/>
      <c r="AH126" s="1269" t="str">
        <f>IF($E$126=0,"",$E$126)</f>
        <v>Тариф на транспортировку сточных вод</v>
      </c>
      <c r="AI126" s="1269" t="str">
        <f>IF($G$126=0,"",$G$126)</f>
        <v/>
      </c>
      <c r="AJ126" s="1269" t="str">
        <f>IF($J$126=0,"",$J$126)</f>
        <v/>
      </c>
      <c r="AK126" s="1269" t="str">
        <f>IF($K$126="нет","без дифференциации",IF($N$126=0,"",$N$126))</f>
        <v/>
      </c>
      <c r="AL126" s="1269" t="str">
        <f>IF($O$126="нет","без дифференциации",IF($R$126=0,"",$R$126))</f>
        <v/>
      </c>
      <c r="AM126" s="1269" t="str">
        <f>IF($S$126="нет","без дифференциации",IF($V$126=0,"",$V$126))</f>
        <v/>
      </c>
      <c r="AN126" s="1774">
        <f>$I$126</f>
        <v>0</v>
      </c>
      <c r="AO126" s="1269" t="str">
        <f>$I$126&amp;"."&amp;$M$126</f>
        <v>.</v>
      </c>
      <c r="AP126" s="1261" t="str">
        <f>$I$126&amp;"."&amp;$M$126&amp;"."&amp;$Q$126</f>
        <v>..</v>
      </c>
      <c r="AQ126" s="1261" t="str">
        <f>$I$126&amp;"."&amp;$M$126&amp;"."&amp;$Q$126&amp;"."&amp;$U$126</f>
        <v>...</v>
      </c>
      <c r="AR126" s="1469">
        <v>0</v>
      </c>
    </row>
    <row s="1855" customFormat="1" customHeight="1" ht="17.25" hidden="1">
      <c r="A127" s="323"/>
      <c r="C127" s="322"/>
      <c r="D127" s="2137"/>
      <c r="E127" s="2145"/>
      <c r="F127" s="2148"/>
      <c r="G127" s="2145"/>
      <c r="H127" s="2151"/>
      <c r="I127" s="2153"/>
      <c r="J127" s="2155"/>
      <c r="K127" s="2140"/>
      <c r="L127" s="2140"/>
      <c r="M127" s="2140"/>
      <c r="N127" s="2142"/>
      <c r="O127" s="2140"/>
      <c r="P127" s="2140"/>
      <c r="Q127" s="2140"/>
      <c r="R127" s="2143"/>
      <c r="S127" s="2140"/>
      <c r="T127" s="1299"/>
      <c r="U127" s="1299"/>
      <c r="V127" s="1299"/>
      <c r="W127" s="1300"/>
      <c r="X127" s="1261"/>
      <c r="Y127" s="1261"/>
      <c r="Z127" s="1261"/>
      <c r="AA127" s="1261"/>
      <c r="AB127" s="1261"/>
      <c r="AC127" s="1261"/>
      <c r="AD127" s="1261"/>
      <c r="AE127" s="1261"/>
      <c r="AF127" s="1261"/>
      <c r="AG127" s="1261"/>
      <c r="AH127" s="1261"/>
      <c r="AI127" s="1261"/>
      <c r="AJ127" s="1261"/>
      <c r="AK127" s="1261"/>
      <c r="AL127" s="1261"/>
      <c r="AM127" s="1261"/>
      <c r="AN127" s="1261"/>
      <c r="AO127" s="1261"/>
      <c r="AP127" s="1261"/>
      <c r="AQ127" s="1261"/>
      <c r="AR127" s="1469">
        <v>0</v>
      </c>
    </row>
    <row s="1855" customFormat="1" customHeight="1" ht="17.25" hidden="1">
      <c r="A128" s="323"/>
      <c r="C128" s="322"/>
      <c r="D128" s="2138"/>
      <c r="E128" s="2146"/>
      <c r="F128" s="2148"/>
      <c r="G128" s="2146"/>
      <c r="H128" s="2151"/>
      <c r="I128" s="2153"/>
      <c r="J128" s="2156"/>
      <c r="K128" s="2140"/>
      <c r="L128" s="2140"/>
      <c r="M128" s="2140"/>
      <c r="N128" s="2143"/>
      <c r="O128" s="2140"/>
      <c r="P128" s="1473"/>
      <c r="Q128" s="1299"/>
      <c r="R128" s="1299"/>
      <c r="S128" s="331"/>
      <c r="T128" s="331"/>
      <c r="U128" s="331"/>
      <c r="V128" s="331"/>
      <c r="W128" s="1300"/>
      <c r="X128" s="1261"/>
      <c r="Y128" s="1261"/>
      <c r="Z128" s="1261"/>
      <c r="AA128" s="1261"/>
      <c r="AB128" s="1261"/>
      <c r="AC128" s="1261"/>
      <c r="AD128" s="1261"/>
      <c r="AE128" s="1261"/>
      <c r="AF128" s="1261"/>
      <c r="AG128" s="1261"/>
      <c r="AH128" s="1261"/>
      <c r="AI128" s="1261"/>
      <c r="AJ128" s="1261"/>
      <c r="AK128" s="1261"/>
      <c r="AL128" s="1261"/>
      <c r="AM128" s="1261"/>
      <c r="AN128" s="1261"/>
      <c r="AO128" s="1261"/>
      <c r="AP128" s="1261"/>
      <c r="AQ128" s="1261"/>
      <c r="AR128" s="1469">
        <v>0</v>
      </c>
    </row>
    <row s="1855" customFormat="1" customHeight="1" ht="17.25" hidden="1">
      <c r="A129" s="323"/>
      <c r="C129" s="322"/>
      <c r="D129" s="2138"/>
      <c r="E129" s="2146"/>
      <c r="F129" s="2148"/>
      <c r="G129" s="2146"/>
      <c r="H129" s="2151"/>
      <c r="I129" s="2153"/>
      <c r="J129" s="2156"/>
      <c r="K129" s="2140"/>
      <c r="L129" s="1299"/>
      <c r="M129" s="1299"/>
      <c r="N129" s="1299"/>
      <c r="O129" s="1299"/>
      <c r="P129" s="1299"/>
      <c r="Q129" s="1299"/>
      <c r="R129" s="1299"/>
      <c r="S129" s="331"/>
      <c r="T129" s="331"/>
      <c r="U129" s="331"/>
      <c r="V129" s="331"/>
      <c r="W129" s="1300"/>
      <c r="X129" s="1261"/>
      <c r="Y129" s="1261"/>
      <c r="Z129" s="1261"/>
      <c r="AA129" s="1261"/>
      <c r="AB129" s="1261"/>
      <c r="AC129" s="1261"/>
      <c r="AD129" s="1261"/>
      <c r="AE129" s="1261"/>
      <c r="AF129" s="1261"/>
      <c r="AG129" s="1261"/>
      <c r="AH129" s="1261"/>
      <c r="AI129" s="1261"/>
      <c r="AJ129" s="1261"/>
      <c r="AK129" s="1261"/>
      <c r="AL129" s="1261"/>
      <c r="AM129" s="1261"/>
      <c r="AN129" s="1261"/>
      <c r="AO129" s="1261"/>
      <c r="AP129" s="1261"/>
      <c r="AQ129" s="1261"/>
      <c r="AR129" s="1469">
        <v>0</v>
      </c>
    </row>
    <row s="1855" customFormat="1" customHeight="1" ht="17.25" hidden="1">
      <c r="A130" s="323"/>
      <c r="C130" s="322"/>
      <c r="D130" s="2138"/>
      <c r="E130" s="2146"/>
      <c r="F130" s="2149"/>
      <c r="G130" s="2146"/>
      <c r="H130" s="1301"/>
      <c r="I130" s="1302"/>
      <c r="J130" s="1302"/>
      <c r="K130" s="1302"/>
      <c r="L130" s="1302"/>
      <c r="M130" s="1302"/>
      <c r="N130" s="1302"/>
      <c r="O130" s="1302"/>
      <c r="P130" s="1302"/>
      <c r="Q130" s="1302"/>
      <c r="R130" s="1302"/>
      <c r="S130" s="1303"/>
      <c r="T130" s="1303"/>
      <c r="U130" s="1303"/>
      <c r="V130" s="1303"/>
      <c r="W130" s="1304"/>
      <c r="X130" s="1261"/>
      <c r="Y130" s="1261"/>
      <c r="Z130" s="1261"/>
      <c r="AA130" s="1261"/>
      <c r="AB130" s="1261"/>
      <c r="AC130" s="1261"/>
      <c r="AD130" s="1261"/>
      <c r="AE130" s="1261"/>
      <c r="AF130" s="1261"/>
      <c r="AG130" s="1261"/>
      <c r="AH130" s="1261"/>
      <c r="AI130" s="1261"/>
      <c r="AJ130" s="1261"/>
      <c r="AK130" s="1261"/>
      <c r="AL130" s="1261"/>
      <c r="AM130" s="1261"/>
      <c r="AN130" s="1261"/>
      <c r="AO130" s="1261"/>
      <c r="AP130" s="1261"/>
      <c r="AQ130" s="1261"/>
      <c r="AR130" s="1469">
        <v>0</v>
      </c>
    </row>
    <row s="1855" customFormat="1" customHeight="1" ht="17.25" hidden="1">
      <c r="A131" s="323"/>
      <c r="C131" s="211"/>
      <c r="D131" s="2137">
        <v>3</v>
      </c>
      <c r="E131" s="2145" t="s">
        <v>274</v>
      </c>
      <c r="F131" s="2147" t="s">
        <v>19</v>
      </c>
      <c r="G131" s="2145"/>
      <c r="H131" s="2150"/>
      <c r="I131" s="2152"/>
      <c r="J131" s="2154"/>
      <c r="K131" s="2139"/>
      <c r="L131" s="2139"/>
      <c r="M131" s="2139"/>
      <c r="N131" s="2141"/>
      <c r="O131" s="2139"/>
      <c r="P131" s="2139"/>
      <c r="Q131" s="2139"/>
      <c r="R131" s="2144"/>
      <c r="S131" s="2139"/>
      <c r="T131" s="1945"/>
      <c r="U131" s="1945"/>
      <c r="V131" s="1947"/>
      <c r="W131" s="1298"/>
      <c r="X131" s="1269"/>
      <c r="Y131" s="1269"/>
      <c r="Z131" s="1269"/>
      <c r="AA131" s="1269"/>
      <c r="AB131" s="1269"/>
      <c r="AC131" s="1269" t="s">
        <v>275</v>
      </c>
      <c r="AD131" s="1269" t="s">
        <v>276</v>
      </c>
      <c r="AE131" s="1269" t="s">
        <v>277</v>
      </c>
      <c r="AF131" s="1269" t="s">
        <v>278</v>
      </c>
      <c r="AG131" s="1269"/>
      <c r="AH131" s="1269" t="str">
        <f>IF($E$131=0,"",$E$131)</f>
        <v>Тариф на подключение (технологическое присоединение) к централизованной системе водоотведения</v>
      </c>
      <c r="AI131" s="1269" t="str">
        <f>IF($G$131=0,"",$G$131)</f>
        <v/>
      </c>
      <c r="AJ131" s="1269" t="str">
        <f>IF($J$131=0,"",$J$131)</f>
        <v/>
      </c>
      <c r="AK131" s="1269" t="str">
        <f>IF($K$131="нет","без дифференциации",IF($N$131=0,"",$N$131))</f>
        <v/>
      </c>
      <c r="AL131" s="1269" t="str">
        <f>IF($O$131="нет","без дифференциации",IF($R$131=0,"",$R$131))</f>
        <v/>
      </c>
      <c r="AM131" s="1269" t="str">
        <f>IF($S$131="нет","без дифференциации",IF($V$131=0,"",$V$131))</f>
        <v/>
      </c>
      <c r="AN131" s="1774">
        <f>$I$131</f>
        <v>0</v>
      </c>
      <c r="AO131" s="1269" t="str">
        <f>$I$131&amp;"."&amp;$M$131</f>
        <v>.</v>
      </c>
      <c r="AP131" s="1268" t="str">
        <f>$I$131&amp;"."&amp;$M$131&amp;"."&amp;$Q$131</f>
        <v>..</v>
      </c>
      <c r="AQ131" s="1268" t="str">
        <f>$I$131&amp;"."&amp;$M$131&amp;"."&amp;$Q$131&amp;"."&amp;$U$131</f>
        <v>...</v>
      </c>
      <c r="AR131" s="1469">
        <v>0</v>
      </c>
    </row>
    <row s="1855" customFormat="1" customHeight="1" ht="17.25" hidden="1">
      <c r="A132" s="323"/>
      <c r="C132" s="322"/>
      <c r="D132" s="2137"/>
      <c r="E132" s="2145"/>
      <c r="F132" s="2148"/>
      <c r="G132" s="2145"/>
      <c r="H132" s="2151"/>
      <c r="I132" s="2153"/>
      <c r="J132" s="2155"/>
      <c r="K132" s="2140"/>
      <c r="L132" s="2140"/>
      <c r="M132" s="2140"/>
      <c r="N132" s="2142"/>
      <c r="O132" s="2140"/>
      <c r="P132" s="2140"/>
      <c r="Q132" s="2140"/>
      <c r="R132" s="2143"/>
      <c r="S132" s="2140"/>
      <c r="T132" s="1950"/>
      <c r="U132" s="1950"/>
      <c r="V132" s="1950"/>
      <c r="W132" s="1951"/>
      <c r="X132" s="1268"/>
      <c r="Y132" s="1268"/>
      <c r="Z132" s="1268"/>
      <c r="AA132" s="1268"/>
      <c r="AB132" s="1268"/>
      <c r="AC132" s="1268"/>
      <c r="AD132" s="1268"/>
      <c r="AE132" s="1268"/>
      <c r="AF132" s="1268"/>
      <c r="AG132" s="1268"/>
      <c r="AH132" s="1268"/>
      <c r="AI132" s="1268"/>
      <c r="AJ132" s="1268"/>
      <c r="AK132" s="1268"/>
      <c r="AL132" s="1268"/>
      <c r="AM132" s="1268"/>
      <c r="AN132" s="1268"/>
      <c r="AO132" s="1268"/>
      <c r="AP132" s="1268"/>
      <c r="AQ132" s="1268"/>
      <c r="AR132" s="1469">
        <v>0</v>
      </c>
    </row>
    <row s="1855" customFormat="1" customHeight="1" ht="17.25" hidden="1">
      <c r="A133" s="323"/>
      <c r="C133" s="322"/>
      <c r="D133" s="2138"/>
      <c r="E133" s="2146"/>
      <c r="F133" s="2148"/>
      <c r="G133" s="2146"/>
      <c r="H133" s="2151"/>
      <c r="I133" s="2153"/>
      <c r="J133" s="2156"/>
      <c r="K133" s="2140"/>
      <c r="L133" s="2140"/>
      <c r="M133" s="2140"/>
      <c r="N133" s="2143"/>
      <c r="O133" s="2140"/>
      <c r="P133" s="1946"/>
      <c r="Q133" s="1950"/>
      <c r="R133" s="1950"/>
      <c r="S133" s="331"/>
      <c r="T133" s="331"/>
      <c r="U133" s="331"/>
      <c r="V133" s="331"/>
      <c r="W133" s="1951"/>
      <c r="X133" s="1268"/>
      <c r="Y133" s="1268"/>
      <c r="Z133" s="1268"/>
      <c r="AA133" s="1268"/>
      <c r="AB133" s="1268"/>
      <c r="AC133" s="1268"/>
      <c r="AD133" s="1268"/>
      <c r="AE133" s="1268"/>
      <c r="AF133" s="1268"/>
      <c r="AG133" s="1268"/>
      <c r="AH133" s="1268"/>
      <c r="AI133" s="1268"/>
      <c r="AJ133" s="1268"/>
      <c r="AK133" s="1268"/>
      <c r="AL133" s="1268"/>
      <c r="AM133" s="1268"/>
      <c r="AN133" s="1268"/>
      <c r="AO133" s="1268"/>
      <c r="AP133" s="1268"/>
      <c r="AQ133" s="1268"/>
      <c r="AR133" s="1469">
        <v>0</v>
      </c>
    </row>
    <row s="1855" customFormat="1" customHeight="1" ht="17.25" hidden="1">
      <c r="A134" s="323"/>
      <c r="C134" s="322"/>
      <c r="D134" s="2138"/>
      <c r="E134" s="2146"/>
      <c r="F134" s="2148"/>
      <c r="G134" s="2146"/>
      <c r="H134" s="2151"/>
      <c r="I134" s="2153"/>
      <c r="J134" s="2156"/>
      <c r="K134" s="2140"/>
      <c r="L134" s="1950"/>
      <c r="M134" s="1950"/>
      <c r="N134" s="1950"/>
      <c r="O134" s="1950"/>
      <c r="P134" s="1950"/>
      <c r="Q134" s="1950"/>
      <c r="R134" s="1950"/>
      <c r="S134" s="331"/>
      <c r="T134" s="331"/>
      <c r="U134" s="331"/>
      <c r="V134" s="331"/>
      <c r="W134" s="1951"/>
      <c r="X134" s="1268"/>
      <c r="Y134" s="1268"/>
      <c r="Z134" s="1268"/>
      <c r="AA134" s="1268"/>
      <c r="AB134" s="1268"/>
      <c r="AC134" s="1268"/>
      <c r="AD134" s="1268"/>
      <c r="AE134" s="1268"/>
      <c r="AF134" s="1268"/>
      <c r="AG134" s="1268"/>
      <c r="AH134" s="1268"/>
      <c r="AI134" s="1268"/>
      <c r="AJ134" s="1268"/>
      <c r="AK134" s="1268"/>
      <c r="AL134" s="1268"/>
      <c r="AM134" s="1268"/>
      <c r="AN134" s="1268"/>
      <c r="AO134" s="1268"/>
      <c r="AP134" s="1268"/>
      <c r="AQ134" s="1268"/>
      <c r="AR134" s="1469">
        <v>0</v>
      </c>
    </row>
    <row s="1855" customFormat="1" customHeight="1" ht="17.25" hidden="1">
      <c r="A135" s="323"/>
      <c r="C135" s="322"/>
      <c r="D135" s="2138"/>
      <c r="E135" s="2146"/>
      <c r="F135" s="2149"/>
      <c r="G135" s="2146"/>
      <c r="H135" s="1301"/>
      <c r="I135" s="1948"/>
      <c r="J135" s="1948"/>
      <c r="K135" s="1948"/>
      <c r="L135" s="1948"/>
      <c r="M135" s="1948"/>
      <c r="N135" s="1948"/>
      <c r="O135" s="1948"/>
      <c r="P135" s="1948"/>
      <c r="Q135" s="1948"/>
      <c r="R135" s="1948"/>
      <c r="S135" s="1303"/>
      <c r="T135" s="1303"/>
      <c r="U135" s="1303"/>
      <c r="V135" s="1303"/>
      <c r="W135" s="1949"/>
      <c r="X135" s="1268"/>
      <c r="Y135" s="1268"/>
      <c r="Z135" s="1268"/>
      <c r="AA135" s="1268"/>
      <c r="AB135" s="1268"/>
      <c r="AC135" s="1268"/>
      <c r="AD135" s="1268"/>
      <c r="AE135" s="1268"/>
      <c r="AF135" s="1268"/>
      <c r="AG135" s="1268"/>
      <c r="AH135" s="1268"/>
      <c r="AI135" s="1268"/>
      <c r="AJ135" s="1268"/>
      <c r="AK135" s="1268"/>
      <c r="AL135" s="1268"/>
      <c r="AM135" s="1268"/>
      <c r="AN135" s="1268"/>
      <c r="AO135" s="1268"/>
      <c r="AP135" s="1268"/>
      <c r="AQ135" s="1268"/>
      <c r="AR135" s="1469">
        <v>0</v>
      </c>
    </row>
    <row customHeight="1" ht="11.549999999999999">
      <c r="AR136" s="106">
        <v>11</v>
      </c>
    </row>
    <row customHeight="1" ht="11.549999999999999">
      <c r="AR137" s="106">
        <v>11</v>
      </c>
    </row>
    <row customHeight="1" ht="11.549999999999999">
      <c r="AR138" s="106">
        <v>11</v>
      </c>
    </row>
    <row customHeight="1" ht="11.549999999999999">
      <c r="E139" s="1352"/>
      <c r="AR139" s="106">
        <v>11</v>
      </c>
    </row>
    <row customHeight="1" ht="11.549999999999999">
      <c r="E140" s="1352"/>
      <c r="AR140" s="106">
        <v>11</v>
      </c>
    </row>
    <row customHeight="1" ht="11.549999999999999">
      <c r="E141" s="1352"/>
      <c r="AR141" s="106">
        <v>11</v>
      </c>
    </row>
    <row customHeight="1" ht="11.549999999999999">
      <c r="E142" s="1352"/>
      <c r="AR142" s="106">
        <v>11</v>
      </c>
    </row>
    <row customHeight="1" ht="11.549999999999999">
      <c r="E143" s="1352"/>
      <c r="AR143" s="106">
        <v>11</v>
      </c>
    </row>
    <row customHeight="1" ht="11.549999999999999">
      <c r="E144" s="1352"/>
      <c r="AR144" s="106">
        <v>11</v>
      </c>
    </row>
    <row customHeight="1" ht="11.549999999999999">
      <c r="E145" s="1352"/>
      <c r="AR145" s="106">
        <v>11</v>
      </c>
    </row>
    <row customHeight="1" ht="11.25" hidden="1">
      <c r="A146" s="155" t="s">
        <v>82</v>
      </c>
      <c r="B146" s="155">
        <v>0</v>
      </c>
      <c r="C146" s="106">
        <v>3</v>
      </c>
      <c r="D146" s="106">
        <v>6</v>
      </c>
      <c r="E146" s="106">
        <v>42</v>
      </c>
      <c r="F146" s="1285">
        <v>14</v>
      </c>
      <c r="G146" s="106">
        <v>42</v>
      </c>
      <c r="H146" s="106">
        <v>3</v>
      </c>
      <c r="I146" s="106">
        <v>5</v>
      </c>
      <c r="J146" s="106">
        <v>47</v>
      </c>
      <c r="K146" s="106">
        <v>3</v>
      </c>
      <c r="L146" s="106">
        <v>3</v>
      </c>
      <c r="M146" s="106">
        <v>5</v>
      </c>
      <c r="N146" s="106">
        <v>28</v>
      </c>
      <c r="O146" s="106">
        <v>3</v>
      </c>
      <c r="P146" s="106">
        <v>3</v>
      </c>
      <c r="Q146" s="106">
        <v>5</v>
      </c>
      <c r="R146" s="106">
        <v>34</v>
      </c>
      <c r="S146" s="284">
        <v>0</v>
      </c>
      <c r="T146" s="284">
        <v>0</v>
      </c>
      <c r="U146" s="284">
        <v>0</v>
      </c>
      <c r="V146" s="284">
        <v>0</v>
      </c>
      <c r="W146" s="106">
        <v>30</v>
      </c>
      <c r="X146" s="106">
        <v>3</v>
      </c>
      <c r="Y146" s="1261">
        <v>0</v>
      </c>
      <c r="Z146" s="1261">
        <v>0</v>
      </c>
      <c r="AA146" s="1261">
        <v>0</v>
      </c>
      <c r="AB146" s="1261">
        <v>0</v>
      </c>
      <c r="AC146" s="1261">
        <v>0</v>
      </c>
      <c r="AD146" s="1261">
        <v>0</v>
      </c>
      <c r="AE146" s="1261">
        <v>0</v>
      </c>
      <c r="AF146" s="1261">
        <v>0</v>
      </c>
      <c r="AG146" s="1261">
        <v>0</v>
      </c>
      <c r="AH146" s="1261">
        <v>0</v>
      </c>
      <c r="AI146" s="1261">
        <v>0</v>
      </c>
      <c r="AJ146" s="1261">
        <v>0</v>
      </c>
      <c r="AK146" s="1261">
        <v>0</v>
      </c>
      <c r="AL146" s="1261">
        <v>0</v>
      </c>
      <c r="AM146" s="1261">
        <v>0</v>
      </c>
      <c r="AN146" s="1261">
        <v>0</v>
      </c>
      <c r="AO146" s="1261">
        <v>0</v>
      </c>
      <c r="AP146" s="1261">
        <v>0</v>
      </c>
      <c r="AQ146" s="1261">
        <v>0</v>
      </c>
      <c r="AR146" s="106">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27EB0C-B682-9EA1-2095-38D238303517}"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47.00390625" customWidth="1"/>
    <col min="6" max="6" style="1637" width="9.00390625" customWidth="1"/>
    <col min="7" max="7" style="1637" width="25.7109375" hidden="1" customWidth="1"/>
    <col min="8" max="8" style="1637" width="34.00390625" hidden="1" customWidth="1"/>
    <col min="9" max="9" style="1637" width="25.7109375" customWidth="1"/>
    <col min="10" max="10" style="1637" width="33.00390625" customWidth="1"/>
    <col min="11" max="11" style="1368" width="50.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637" customFormat="1" customHeight="1" ht="15" hidden="1">
      <c r="A2" s="364"/>
      <c r="C2" s="178"/>
      <c r="D2" s="348"/>
      <c r="E2" s="675"/>
      <c r="F2" s="524"/>
      <c r="G2" s="618"/>
      <c r="H2" s="618"/>
      <c r="I2" s="618"/>
      <c r="J2" s="618"/>
      <c r="U2" s="676"/>
      <c r="V2" s="511">
        <v>0</v>
      </c>
    </row>
    <row s="1368" customFormat="1" customHeight="1" ht="15" hidden="1">
      <c r="C3" s="674"/>
      <c r="U3" s="422"/>
      <c r="V3" s="419">
        <v>0</v>
      </c>
    </row>
    <row customHeight="1" ht="15.75">
      <c r="C4" s="178"/>
      <c r="D4" s="511"/>
      <c r="E4" s="511"/>
      <c r="F4" s="511"/>
      <c r="G4" s="511"/>
      <c r="H4" s="511"/>
      <c r="I4" s="511"/>
      <c r="J4" s="511"/>
      <c r="V4" s="507">
        <v>15</v>
      </c>
    </row>
    <row customHeight="1" ht="66">
      <c r="C5" s="178"/>
      <c r="D5" s="2239" t="s">
        <v>1157</v>
      </c>
      <c r="E5" s="2239"/>
      <c r="F5" s="2239"/>
      <c r="G5" s="2239"/>
      <c r="H5" s="2239"/>
      <c r="I5" s="2239"/>
      <c r="J5" s="2239"/>
      <c r="V5" s="507">
        <v>63</v>
      </c>
    </row>
    <row customHeight="1" ht="15.75">
      <c r="C6" s="178"/>
      <c r="D6" s="2178" t="str">
        <f>IF(org=0,"Не определено",org)</f>
        <v>ПАО "ТГК-2"</v>
      </c>
      <c r="E6" s="2178"/>
      <c r="F6" s="2178"/>
      <c r="G6" s="2178"/>
      <c r="H6" s="2178"/>
      <c r="I6" s="2178"/>
      <c r="J6" s="2178"/>
      <c r="K6" s="539"/>
      <c r="V6" s="507">
        <v>15</v>
      </c>
    </row>
    <row customHeight="1" ht="15.75">
      <c r="C7" s="178"/>
      <c r="D7" s="754"/>
      <c r="E7" s="511"/>
      <c r="F7" s="511"/>
      <c r="G7" s="539">
        <v>22</v>
      </c>
      <c r="I7" s="539">
        <v>1</v>
      </c>
      <c r="J7" s="754"/>
      <c r="V7" s="507">
        <v>15</v>
      </c>
    </row>
    <row s="1637" customFormat="1" customHeight="1" ht="1.05">
      <c r="A8" s="761"/>
      <c r="C8" s="178"/>
      <c r="D8" s="511"/>
      <c r="E8" s="511"/>
      <c r="F8" s="511"/>
      <c r="G8" s="539"/>
      <c r="H8" s="754"/>
      <c r="I8" s="539" t="s">
        <v>118</v>
      </c>
      <c r="J8" s="754"/>
      <c r="K8" s="419"/>
      <c r="U8" s="677"/>
      <c r="V8" s="760">
        <v>1</v>
      </c>
    </row>
    <row customHeight="1" ht="15.75">
      <c r="C9" s="178"/>
      <c r="D9" s="713"/>
      <c r="E9" s="2369" t="s">
        <v>105</v>
      </c>
      <c r="F9" s="2370"/>
      <c r="G9" s="2397" t="str">
        <f>IF(G8="","",INDEX(DIFFERENTIATION_UNMERGE_VD,MATCH(G8,DIFFERENTIATION_ID_DIFF,0)))</f>
        <v/>
      </c>
      <c r="H9" s="2398"/>
      <c r="I9" s="2397" t="str">
        <f>IF(I8="","",INDEX(DIFFERENTIATION_UNMERGE_VD,MATCH(I8,DIFFERENTIATION_ID_DIFF,0)))</f>
        <v>Подключение (технологическое присоединение) к системе теплоснабжения</v>
      </c>
      <c r="J9" s="2398"/>
      <c r="K9" s="2177" t="s">
        <v>301</v>
      </c>
      <c r="V9" s="507">
        <v>15</v>
      </c>
    </row>
    <row s="1637" customFormat="1" customHeight="1" ht="15.75">
      <c r="A10" s="761"/>
      <c r="C10" s="178"/>
      <c r="D10" s="713"/>
      <c r="E10" s="2369" t="s">
        <v>564</v>
      </c>
      <c r="F10" s="2370"/>
      <c r="G10" s="2397" t="str">
        <f>IF(G8="","",INDEX(DIFFERENTIATION_UNMERGE_AREA,MATCH(G8,DIFFERENTIATION_ID_DIFF,0)))</f>
        <v/>
      </c>
      <c r="H10" s="2398"/>
      <c r="I10" s="2397" t="str">
        <f>IF(I8="","",INDEX(DIFFERENTIATION_UNMERGE_AREA,MATCH(I8,DIFFERENTIATION_ID_DIFF,0)))</f>
        <v>Территория 1</v>
      </c>
      <c r="J10" s="2398"/>
      <c r="K10" s="2201"/>
      <c r="U10" s="677"/>
      <c r="V10" s="760">
        <v>15</v>
      </c>
    </row>
    <row s="1637" customFormat="1" customHeight="1" ht="15.75">
      <c r="A11" s="761"/>
      <c r="C11" s="178"/>
      <c r="D11" s="713"/>
      <c r="E11" s="2369" t="s">
        <v>565</v>
      </c>
      <c r="F11" s="2370"/>
      <c r="G11" s="2397" t="str">
        <f>IF(G8="","",INDEX(DIFFERENTIATION_UNMERGE_SYSTEM,MATCH(G8,DIFFERENTIATION_ID_DIFF,0)))</f>
        <v/>
      </c>
      <c r="H11" s="2398"/>
      <c r="I11" s="2397" t="str">
        <f>IF(I8="","",INDEX(DIFFERENTIATION_UNMERGE_SYSTEM,MATCH(I8,DIFFERENTIATION_ID_DIFF,0)))</f>
        <v>Вологодская ТЭЦ</v>
      </c>
      <c r="J11" s="2398"/>
      <c r="K11" s="2201"/>
      <c r="U11" s="677"/>
      <c r="V11" s="760">
        <v>15</v>
      </c>
    </row>
    <row s="1637" customFormat="1" customHeight="1" ht="15.75">
      <c r="A12" s="761"/>
      <c r="C12" s="178"/>
      <c r="D12" s="2371" t="s">
        <v>300</v>
      </c>
      <c r="E12" s="2372"/>
      <c r="F12" s="2372"/>
      <c r="G12" s="889"/>
      <c r="H12" s="889"/>
      <c r="I12" s="889"/>
      <c r="J12" s="889"/>
      <c r="K12" s="2201"/>
      <c r="U12" s="677"/>
      <c r="V12" s="760">
        <v>15</v>
      </c>
    </row>
    <row customHeight="1" ht="35.699999999999996">
      <c r="C13" s="178"/>
      <c r="D13" s="807" t="s">
        <v>88</v>
      </c>
      <c r="E13" s="809" t="s">
        <v>302</v>
      </c>
      <c r="F13" s="809" t="s">
        <v>566</v>
      </c>
      <c r="G13" s="810" t="s">
        <v>303</v>
      </c>
      <c r="H13" s="809" t="s">
        <v>390</v>
      </c>
      <c r="I13" s="810" t="s">
        <v>303</v>
      </c>
      <c r="J13" s="809" t="s">
        <v>390</v>
      </c>
      <c r="K13" s="2234"/>
      <c r="V13" s="507">
        <v>34</v>
      </c>
    </row>
    <row customHeight="1" ht="15" hidden="1">
      <c r="C14" s="178"/>
      <c r="D14" s="595" t="s">
        <v>109</v>
      </c>
      <c r="E14" s="595" t="s">
        <v>110</v>
      </c>
      <c r="F14" s="595" t="s">
        <v>90</v>
      </c>
      <c r="G14" s="661" t="str">
        <f>G1&amp;".1"</f>
        <v>4.1</v>
      </c>
      <c r="H14" s="661"/>
      <c r="I14" s="661" t="str">
        <f>I1&amp;".1"</f>
        <v>4.1</v>
      </c>
      <c r="J14" s="661"/>
      <c r="K14" s="291"/>
      <c r="V14" s="507">
        <v>0</v>
      </c>
    </row>
    <row customHeight="1" ht="22.5" hidden="1">
      <c r="A15" s="507"/>
      <c r="C15" s="528"/>
      <c r="D15" s="523">
        <v>1</v>
      </c>
      <c r="E15" s="679" t="s">
        <v>809</v>
      </c>
      <c r="F15" s="523" t="s">
        <v>810</v>
      </c>
      <c r="G15" s="680"/>
      <c r="H15" s="680"/>
      <c r="I15" s="680"/>
      <c r="J15" s="680"/>
      <c r="K15" s="291" t="s">
        <v>811</v>
      </c>
      <c r="V15" s="507">
        <v>0</v>
      </c>
    </row>
    <row customHeight="1" ht="22.5" hidden="1">
      <c r="A16" s="507"/>
      <c r="C16" s="528"/>
      <c r="D16" s="523">
        <v>2</v>
      </c>
      <c r="E16" s="281" t="s">
        <v>812</v>
      </c>
      <c r="F16" s="523" t="s">
        <v>813</v>
      </c>
      <c r="G16" s="680"/>
      <c r="H16" s="680"/>
      <c r="I16" s="680"/>
      <c r="J16" s="680"/>
      <c r="K16" s="291" t="s">
        <v>814</v>
      </c>
      <c r="V16" s="507">
        <v>0</v>
      </c>
    </row>
    <row customHeight="1" ht="123.75" hidden="1">
      <c r="A17" s="507"/>
      <c r="C17" s="528"/>
      <c r="D17" s="523">
        <v>3</v>
      </c>
      <c r="E17" s="281" t="s">
        <v>1158</v>
      </c>
      <c r="F17" s="523" t="s">
        <v>306</v>
      </c>
      <c r="G17" s="680"/>
      <c r="H17" s="680"/>
      <c r="I17" s="680"/>
      <c r="J17" s="680"/>
      <c r="K17" s="291" t="s">
        <v>1159</v>
      </c>
      <c r="V17" s="507">
        <v>0</v>
      </c>
    </row>
    <row customHeight="1" ht="48.29999999999999">
      <c r="A18" s="507"/>
      <c r="C18" s="528"/>
      <c r="D18" s="523">
        <v>3</v>
      </c>
      <c r="E18" s="281" t="s">
        <v>815</v>
      </c>
      <c r="F18" s="523" t="s">
        <v>306</v>
      </c>
      <c r="G18" s="811" t="s">
        <v>306</v>
      </c>
      <c r="H18" s="812" t="s">
        <v>306</v>
      </c>
      <c r="I18" s="523" t="s">
        <v>306</v>
      </c>
      <c r="J18" s="580" t="s">
        <v>306</v>
      </c>
      <c r="K18" s="291" t="s">
        <v>1160</v>
      </c>
      <c r="V18" s="507">
        <v>46</v>
      </c>
    </row>
    <row customHeight="1" ht="35.699999999999996">
      <c r="A19" s="507"/>
      <c r="C19" s="528"/>
      <c r="D19" s="541" t="s">
        <v>324</v>
      </c>
      <c r="E19" s="561" t="s">
        <v>817</v>
      </c>
      <c r="F19" s="523" t="s">
        <v>818</v>
      </c>
      <c r="G19" s="819"/>
      <c r="H19" s="108"/>
      <c r="I19" s="819"/>
      <c r="J19" s="820"/>
      <c r="K19" s="681"/>
      <c r="V19" s="507">
        <v>34</v>
      </c>
    </row>
    <row customHeight="1" ht="35.699999999999996">
      <c r="A20" s="507"/>
      <c r="C20" s="528"/>
      <c r="D20" s="1892" t="s">
        <v>332</v>
      </c>
      <c r="E20" s="561" t="s">
        <v>819</v>
      </c>
      <c r="F20" s="523" t="s">
        <v>820</v>
      </c>
      <c r="G20" s="819"/>
      <c r="H20" s="108"/>
      <c r="I20" s="819"/>
      <c r="J20" s="108"/>
      <c r="K20" s="681"/>
      <c r="V20" s="507">
        <v>34</v>
      </c>
    </row>
    <row customHeight="1" ht="48.29999999999999">
      <c r="A21" s="507"/>
      <c r="C21" s="528"/>
      <c r="D21" s="1892" t="s">
        <v>334</v>
      </c>
      <c r="E21" s="561" t="s">
        <v>821</v>
      </c>
      <c r="F21" s="523" t="s">
        <v>571</v>
      </c>
      <c r="G21" s="682"/>
      <c r="H21" s="108"/>
      <c r="I21" s="682"/>
      <c r="J21" s="108"/>
      <c r="K21" s="681"/>
      <c r="V21" s="507">
        <v>46</v>
      </c>
    </row>
    <row customHeight="1" ht="67.5" hidden="1">
      <c r="A22" s="507"/>
      <c r="C22" s="528"/>
      <c r="D22" s="523">
        <v>5</v>
      </c>
      <c r="E22" s="281" t="s">
        <v>1161</v>
      </c>
      <c r="F22" s="523" t="s">
        <v>558</v>
      </c>
      <c r="G22" s="683"/>
      <c r="H22" s="684"/>
      <c r="I22" s="683"/>
      <c r="J22" s="684"/>
      <c r="K22" s="291" t="s">
        <v>1162</v>
      </c>
      <c r="V22" s="507">
        <v>0</v>
      </c>
    </row>
    <row customHeight="1" ht="33.75" hidden="1">
      <c r="C23" s="453"/>
      <c r="D23" s="523">
        <v>6</v>
      </c>
      <c r="E23" s="281" t="s">
        <v>1163</v>
      </c>
      <c r="F23" s="523" t="s">
        <v>1164</v>
      </c>
      <c r="G23" s="683"/>
      <c r="H23" s="683"/>
      <c r="I23" s="683"/>
      <c r="J23" s="683"/>
      <c r="K23" s="291" t="s">
        <v>1165</v>
      </c>
      <c r="V23" s="507">
        <v>0</v>
      </c>
    </row>
    <row customHeight="1" ht="15.75">
      <c r="V24" s="507">
        <v>15</v>
      </c>
    </row>
    <row customHeight="1" ht="15.75">
      <c r="V25" s="507">
        <v>15</v>
      </c>
    </row>
    <row customHeight="1" ht="15.75">
      <c r="V26" s="507">
        <v>15</v>
      </c>
    </row>
    <row customHeight="1" ht="15.75">
      <c r="V27" s="507">
        <v>15</v>
      </c>
    </row>
    <row customHeight="1" ht="15.75">
      <c r="V28" s="507">
        <v>15</v>
      </c>
    </row>
    <row customHeight="1" ht="15.75">
      <c r="J29" s="821"/>
      <c r="V29" s="507">
        <v>15</v>
      </c>
    </row>
    <row customHeight="1" ht="22.5" hidden="1">
      <c r="A30" s="451" t="s">
        <v>82</v>
      </c>
      <c r="B30" s="507">
        <v>0</v>
      </c>
      <c r="C30" s="685">
        <v>4</v>
      </c>
      <c r="D30" s="507">
        <v>6</v>
      </c>
      <c r="E30" s="507">
        <v>47</v>
      </c>
      <c r="F30" s="507">
        <v>9</v>
      </c>
      <c r="G30" s="760">
        <v>0</v>
      </c>
      <c r="H30" s="760">
        <v>0</v>
      </c>
      <c r="I30" s="507">
        <v>25</v>
      </c>
      <c r="J30" s="507">
        <v>33</v>
      </c>
      <c r="K30" s="419">
        <v>50</v>
      </c>
      <c r="L30" s="507">
        <v>10</v>
      </c>
      <c r="M30" s="507">
        <v>10</v>
      </c>
      <c r="N30" s="507">
        <v>10</v>
      </c>
      <c r="O30" s="507">
        <v>10</v>
      </c>
      <c r="P30" s="507">
        <v>10</v>
      </c>
      <c r="Q30" s="507">
        <v>10</v>
      </c>
      <c r="R30" s="507">
        <v>10</v>
      </c>
      <c r="S30" s="507">
        <v>10</v>
      </c>
      <c r="T30" s="507">
        <v>10</v>
      </c>
      <c r="U30" s="677">
        <v>10</v>
      </c>
      <c r="V30" s="507">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D92E91B-0E0A-3EBB-6942-8C5DAE840E5F}"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4" width="32.57421875" customWidth="1"/>
    <col min="2" max="2" style="1852" width="11.00390625" customWidth="1"/>
    <col min="3" max="3" style="1852" width="9.140625"/>
    <col min="4" max="4" style="1852" width="26.57421875" customWidth="1"/>
    <col min="5" max="5" style="1825" width="36.8515625" customWidth="1"/>
    <col min="6" max="6" style="1825" width="23.57421875" customWidth="1"/>
    <col min="7" max="7" style="1825" width="31.421875" customWidth="1"/>
    <col min="8" max="8" style="1825" width="40.8515625" customWidth="1"/>
    <col min="9" max="9" style="1825" width="14.57421875" customWidth="1"/>
    <col min="10" max="10" style="1825" width="26.8515625" customWidth="1"/>
    <col min="11" max="11" style="1825" width="50.00390625" customWidth="1"/>
    <col min="12" max="12" style="1825" width="52.421875" customWidth="1"/>
    <col min="13" max="13" style="1825" width="10.7109375" customWidth="1"/>
    <col min="14" max="14" style="1825" width="55.140625" customWidth="1"/>
    <col min="15" max="15" style="1825" width="31.8515625" customWidth="1"/>
    <col min="16" max="16" style="1825" width="23.8515625" customWidth="1"/>
    <col min="17" max="17" style="1825" width="46.57421875" customWidth="1"/>
    <col min="18" max="18" style="1825" width="24.00390625" customWidth="1"/>
    <col min="19" max="19" style="1825" width="20.57421875" customWidth="1"/>
    <col min="20" max="20" style="1825" width="22.00390625" customWidth="1"/>
    <col min="21" max="22" style="1825" width="26.421875" customWidth="1"/>
    <col min="23" max="23" style="1825" width="8.28125" hidden="1" customWidth="1"/>
    <col min="24" max="24" style="1825" width="59.7109375" customWidth="1"/>
    <col min="25" max="25" style="1825" width="49.140625" customWidth="1"/>
    <col min="26" max="26" style="1825" width="11.140625" customWidth="1"/>
    <col min="27" max="30" style="1825" width="29.00390625" customWidth="1"/>
    <col min="31" max="31" style="1825" width="9.140625"/>
    <col min="32" max="32" style="1825" width="34.7109375" customWidth="1"/>
    <col min="33" max="33" style="1825" width="9.140625"/>
    <col min="34" max="35" style="1825" width="34.421875" customWidth="1"/>
    <col min="36" max="36" style="1825" width="9.140625"/>
    <col min="37" max="37" style="1825" width="24.57421875" customWidth="1"/>
    <col min="38" max="38" style="1825" width="9.140625"/>
    <col min="39" max="39" style="1825" width="26.140625" customWidth="1"/>
    <col min="40" max="40" style="1825" width="1.7109375" customWidth="1"/>
    <col min="41" max="41" style="1825" width="9.140625"/>
    <col min="42" max="43" style="1825" width="47.8515625" customWidth="1"/>
    <col min="44" max="44" style="1825" width="1.7109375" customWidth="1"/>
    <col min="45" max="45" style="1825" width="21.421875" customWidth="1"/>
    <col min="46" max="46" style="1825" width="1.7109375" customWidth="1"/>
    <col min="47" max="47" style="1825" width="31.28125" customWidth="1"/>
    <col min="48" max="48" style="1825" width="1.7109375" customWidth="1"/>
    <col min="49" max="50" style="1825" width="9.140625"/>
    <col min="51" max="51" style="1825" width="3.7109375" customWidth="1"/>
    <col min="52" max="52" style="1825" width="60.8515625" customWidth="1"/>
    <col min="53" max="53" style="1825" width="49.28125" customWidth="1"/>
    <col min="54" max="54" style="1825" width="35.140625" customWidth="1"/>
    <col min="55" max="55" style="1825" width="9.140625"/>
    <col min="56" max="56" style="1825" width="1.7109375" customWidth="1"/>
    <col min="57" max="57" style="1068" width="12.57421875" customWidth="1"/>
    <col min="58" max="58" style="1068" width="14.28125" customWidth="1"/>
    <col min="59" max="59" style="1825" width="30.7109375" customWidth="1"/>
    <col min="60" max="60" style="1842" width="40.7109375" customWidth="1"/>
    <col min="61" max="61" style="1842" width="15.00390625" customWidth="1"/>
    <col min="62" max="62" style="1842" width="40.7109375" customWidth="1"/>
    <col min="63" max="63" style="1842" width="2.7109375" customWidth="1"/>
    <col min="64" max="64" style="1842" width="44.7109375" customWidth="1"/>
    <col min="65" max="65" style="1842" width="2.7109375" customWidth="1"/>
    <col min="66" max="66" style="1842" width="40.7109375" customWidth="1"/>
    <col min="67" max="68" style="1825" width="9.140625"/>
    <col min="69" max="69" style="1825" width="18.140625" customWidth="1"/>
    <col min="70" max="70" style="1825" width="57.8515625" customWidth="1"/>
    <col min="71" max="71" style="1825" width="1.7109375" customWidth="1"/>
    <col min="72" max="72" style="1825" width="22.57421875" customWidth="1"/>
    <col min="73" max="73" style="1825" width="57.8515625" customWidth="1"/>
    <col min="74" max="74" style="1825" width="1.7109375" customWidth="1"/>
    <col min="75" max="75" style="1825" width="22.57421875" customWidth="1"/>
    <col min="76" max="76" style="1825" width="57.8515625" customWidth="1"/>
    <col min="77" max="77" style="1825" width="1.7109375" customWidth="1"/>
    <col min="78" max="78" style="1825" width="22.57421875" customWidth="1"/>
    <col min="79" max="79" style="1825" width="57.8515625" customWidth="1"/>
    <col min="80" max="81" style="1825" width="9.140625"/>
    <col min="82" max="82" style="1825" width="49.57421875" customWidth="1"/>
  </cols>
  <sheetData>
    <row s="1429" customFormat="1" customHeight="1" ht="11.25">
      <c r="A1" s="1069" t="s">
        <v>1166</v>
      </c>
      <c r="B1" s="1069" t="s">
        <v>1167</v>
      </c>
      <c r="C1" s="1069" t="s">
        <v>1168</v>
      </c>
      <c r="D1" s="1069" t="s">
        <v>1169</v>
      </c>
      <c r="E1" s="1069" t="s">
        <v>1170</v>
      </c>
      <c r="F1" s="1069" t="s">
        <v>1171</v>
      </c>
      <c r="G1" s="1069" t="s">
        <v>1172</v>
      </c>
      <c r="H1" s="1069" t="s">
        <v>1173</v>
      </c>
      <c r="I1" s="1069" t="s">
        <v>1174</v>
      </c>
      <c r="J1" s="1069" t="s">
        <v>1175</v>
      </c>
      <c r="K1" s="1069" t="s">
        <v>1176</v>
      </c>
      <c r="L1" s="1069" t="s">
        <v>1177</v>
      </c>
      <c r="M1" s="1069"/>
      <c r="N1" s="1069" t="s">
        <v>1178</v>
      </c>
      <c r="O1" s="1069" t="s">
        <v>1179</v>
      </c>
      <c r="P1" s="1069" t="s">
        <v>1180</v>
      </c>
      <c r="Q1" s="1069" t="s">
        <v>1181</v>
      </c>
      <c r="R1" s="1069" t="s">
        <v>1182</v>
      </c>
      <c r="S1" s="1069" t="s">
        <v>1183</v>
      </c>
      <c r="T1" s="1069" t="s">
        <v>1184</v>
      </c>
      <c r="U1" s="1069" t="s">
        <v>1185</v>
      </c>
      <c r="V1" s="1069"/>
      <c r="W1" s="799" t="s">
        <v>1186</v>
      </c>
      <c r="X1" s="1069" t="s">
        <v>1187</v>
      </c>
      <c r="Y1" s="1069" t="s">
        <v>1188</v>
      </c>
      <c r="Z1" s="1069"/>
      <c r="AA1" s="1069" t="s">
        <v>1189</v>
      </c>
      <c r="AB1" s="1069"/>
      <c r="AC1" s="1069" t="s">
        <v>1190</v>
      </c>
      <c r="AD1" s="1069"/>
      <c r="AF1" s="1069" t="s">
        <v>1191</v>
      </c>
      <c r="AH1" s="1069" t="s">
        <v>1192</v>
      </c>
      <c r="AI1" s="1069" t="s">
        <v>1193</v>
      </c>
      <c r="AK1" s="1069" t="s">
        <v>1194</v>
      </c>
      <c r="AM1" s="1069" t="s">
        <v>1195</v>
      </c>
      <c r="AP1" s="1069" t="s">
        <v>1196</v>
      </c>
      <c r="AQ1" s="1069" t="s">
        <v>1197</v>
      </c>
      <c r="AS1" s="1069" t="s">
        <v>1198</v>
      </c>
      <c r="AU1" s="1069" t="s">
        <v>1199</v>
      </c>
      <c r="AW1" s="1069" t="s">
        <v>1200</v>
      </c>
      <c r="AX1" s="1069" t="s">
        <v>1201</v>
      </c>
      <c r="AZ1" s="1154" t="s">
        <v>1202</v>
      </c>
      <c r="BB1" s="1069" t="s">
        <v>1203</v>
      </c>
      <c r="BC1" s="1069"/>
      <c r="BE1" s="1069" t="s">
        <v>1204</v>
      </c>
      <c r="BF1" s="1069" t="s">
        <v>1205</v>
      </c>
      <c r="BH1" s="1071" t="s">
        <v>808</v>
      </c>
      <c r="BI1" s="1072"/>
      <c r="BJ1" s="1073" t="s">
        <v>1206</v>
      </c>
      <c r="BK1" s="1072"/>
      <c r="BL1" s="1074" t="s">
        <v>907</v>
      </c>
      <c r="BM1" s="1072"/>
      <c r="BN1" s="1075" t="s">
        <v>1207</v>
      </c>
      <c r="BS1" s="1429"/>
    </row>
    <row customHeight="1" ht="11.25">
      <c r="A2" s="1076" t="s">
        <v>1208</v>
      </c>
      <c r="B2" s="1077">
        <v>2000</v>
      </c>
      <c r="C2" s="1077">
        <v>2022</v>
      </c>
      <c r="D2" s="1077" t="s">
        <v>66</v>
      </c>
      <c r="E2" s="1078" t="s">
        <v>1209</v>
      </c>
      <c r="F2" s="1078" t="s">
        <v>1210</v>
      </c>
      <c r="G2" s="1078" t="s">
        <v>1211</v>
      </c>
      <c r="H2" s="1079" t="s">
        <v>55</v>
      </c>
      <c r="I2" s="1078" t="s">
        <v>109</v>
      </c>
      <c r="J2" s="1078" t="s">
        <v>1212</v>
      </c>
      <c r="K2" s="1080" t="s">
        <v>1213</v>
      </c>
      <c r="L2" s="1081"/>
      <c r="M2" s="1080">
        <v>1</v>
      </c>
      <c r="N2" s="1164" t="s">
        <v>1214</v>
      </c>
      <c r="O2" s="1079" t="s">
        <v>1215</v>
      </c>
      <c r="P2" s="1082" t="s">
        <v>38</v>
      </c>
      <c r="Q2" s="1083" t="s">
        <v>1216</v>
      </c>
      <c r="R2" s="145" t="s">
        <v>1217</v>
      </c>
      <c r="S2" s="145" t="s">
        <v>1218</v>
      </c>
      <c r="T2" s="1084" t="s">
        <v>1219</v>
      </c>
      <c r="U2" s="1081" t="s">
        <v>1220</v>
      </c>
      <c r="V2" s="1085">
        <v>1</v>
      </c>
      <c r="W2" s="1086"/>
      <c r="X2" s="1086" t="s">
        <v>1221</v>
      </c>
      <c r="Y2" s="1077" t="s">
        <v>1222</v>
      </c>
      <c r="Z2" s="1087"/>
      <c r="AA2" s="1077" t="s">
        <v>1223</v>
      </c>
      <c r="AB2" s="1088" t="s">
        <v>1223</v>
      </c>
      <c r="AC2" s="1077" t="s">
        <v>1224</v>
      </c>
      <c r="AD2" s="1088" t="s">
        <v>1224</v>
      </c>
      <c r="AF2" s="1079" t="s">
        <v>1220</v>
      </c>
      <c r="AH2" s="1078" t="s">
        <v>1225</v>
      </c>
      <c r="AI2" s="1078" t="s">
        <v>1225</v>
      </c>
      <c r="AK2" s="1078" t="s">
        <v>1226</v>
      </c>
      <c r="AM2" s="1078" t="s">
        <v>1227</v>
      </c>
      <c r="AP2" s="1089" t="s">
        <v>1221</v>
      </c>
      <c r="AQ2" s="1090" t="s">
        <v>1221</v>
      </c>
      <c r="AS2" s="1077" t="s">
        <v>1228</v>
      </c>
      <c r="AU2" s="1122" t="s">
        <v>1229</v>
      </c>
      <c r="AW2" s="1122" t="s">
        <v>1230</v>
      </c>
      <c r="AX2" s="1122" t="s">
        <v>1230</v>
      </c>
      <c r="AZ2" s="1122" t="s">
        <v>53</v>
      </c>
      <c r="BB2" s="1122" t="s">
        <v>1231</v>
      </c>
      <c r="BC2" s="1122" t="s">
        <v>1232</v>
      </c>
      <c r="BE2" s="1122">
        <v>2000</v>
      </c>
      <c r="BF2" s="1122" t="s">
        <v>1233</v>
      </c>
    </row>
    <row customHeight="1" ht="11.25">
      <c r="A3" s="1076" t="s">
        <v>1234</v>
      </c>
      <c r="B3" s="1077">
        <v>2001</v>
      </c>
      <c r="C3" s="1077">
        <v>2023</v>
      </c>
      <c r="D3" s="1077" t="s">
        <v>19</v>
      </c>
      <c r="E3" s="1078" t="s">
        <v>1235</v>
      </c>
      <c r="F3" s="1078" t="s">
        <v>1236</v>
      </c>
      <c r="G3" s="1078" t="s">
        <v>1237</v>
      </c>
      <c r="H3" s="1079" t="s">
        <v>1238</v>
      </c>
      <c r="I3" s="1078" t="s">
        <v>110</v>
      </c>
      <c r="J3" s="1078" t="s">
        <v>556</v>
      </c>
      <c r="K3" s="1080" t="s">
        <v>1239</v>
      </c>
      <c r="L3" s="1081">
        <f>_xlfn.IFERROR(MATCH(K3,OFFER_METHOD,0),0)</f>
        <v>0</v>
      </c>
      <c r="M3" s="1080">
        <v>2</v>
      </c>
      <c r="N3" s="1164" t="s">
        <v>1240</v>
      </c>
      <c r="O3" s="1079" t="s">
        <v>1241</v>
      </c>
      <c r="P3" s="1082" t="s">
        <v>1242</v>
      </c>
      <c r="Q3" s="1083" t="s">
        <v>1243</v>
      </c>
      <c r="R3" s="145" t="s">
        <v>1244</v>
      </c>
      <c r="S3" s="145" t="s">
        <v>1245</v>
      </c>
      <c r="T3" s="1084" t="s">
        <v>1246</v>
      </c>
      <c r="U3" s="1081" t="s">
        <v>1247</v>
      </c>
      <c r="V3" s="1085">
        <v>2</v>
      </c>
      <c r="W3" s="1086"/>
      <c r="X3" s="1086" t="s">
        <v>1248</v>
      </c>
      <c r="Y3" s="1077" t="s">
        <v>1222</v>
      </c>
      <c r="Z3" s="1087"/>
      <c r="AA3" s="1077" t="s">
        <v>1249</v>
      </c>
      <c r="AB3" s="1088" t="s">
        <v>1249</v>
      </c>
      <c r="AC3" s="1077" t="s">
        <v>1250</v>
      </c>
      <c r="AD3" s="1088" t="s">
        <v>1250</v>
      </c>
      <c r="AF3" s="1079" t="s">
        <v>1247</v>
      </c>
      <c r="AH3" s="1078" t="s">
        <v>1251</v>
      </c>
      <c r="AI3" s="1078" t="s">
        <v>1252</v>
      </c>
      <c r="AK3" s="1078" t="s">
        <v>1253</v>
      </c>
      <c r="AM3" s="1078" t="s">
        <v>1254</v>
      </c>
      <c r="AP3" s="1089" t="s">
        <v>1255</v>
      </c>
      <c r="AQ3" s="1090" t="s">
        <v>1255</v>
      </c>
      <c r="AS3" s="1077" t="s">
        <v>1256</v>
      </c>
      <c r="AU3" s="1122" t="s">
        <v>1257</v>
      </c>
      <c r="AW3" s="1122" t="s">
        <v>1258</v>
      </c>
      <c r="AX3" s="1122" t="s">
        <v>1258</v>
      </c>
      <c r="AZ3" s="1122" t="s">
        <v>1259</v>
      </c>
      <c r="BB3" s="1122" t="s">
        <v>1260</v>
      </c>
      <c r="BC3" s="1122" t="s">
        <v>1232</v>
      </c>
      <c r="BE3" s="1122">
        <v>2001</v>
      </c>
      <c r="BF3" s="1122" t="s">
        <v>1261</v>
      </c>
      <c r="BH3" s="1069" t="s">
        <v>1262</v>
      </c>
      <c r="BJ3" s="1069" t="s">
        <v>1263</v>
      </c>
      <c r="BL3" s="1069" t="s">
        <v>1264</v>
      </c>
      <c r="BN3" s="1069" t="s">
        <v>1265</v>
      </c>
      <c r="BR3" s="1069" t="s">
        <v>1266</v>
      </c>
      <c r="BS3" s="1430"/>
      <c r="BT3" s="1072"/>
      <c r="BU3" s="1069" t="s">
        <v>1267</v>
      </c>
      <c r="BV3" s="1072"/>
      <c r="BW3" s="1692"/>
      <c r="BX3" s="1694" t="s">
        <v>1268</v>
      </c>
      <c r="CA3" s="1069" t="s">
        <v>1269</v>
      </c>
    </row>
    <row customHeight="1" ht="11.25">
      <c r="A4" s="1076" t="s">
        <v>1270</v>
      </c>
      <c r="B4" s="1077">
        <v>2002</v>
      </c>
      <c r="C4" s="1077">
        <v>2024</v>
      </c>
      <c r="E4" s="1078" t="s">
        <v>1271</v>
      </c>
      <c r="F4" s="1078" t="s">
        <v>35</v>
      </c>
      <c r="H4" s="1079" t="s">
        <v>1272</v>
      </c>
      <c r="I4" s="1078" t="s">
        <v>90</v>
      </c>
      <c r="J4" s="1078" t="s">
        <v>1273</v>
      </c>
      <c r="K4" s="1080" t="s">
        <v>1274</v>
      </c>
      <c r="L4" s="1081">
        <f>_xlfn.IFERROR(MATCH(K4,OFFER_METHOD,0),0)</f>
        <v>0</v>
      </c>
      <c r="M4" s="1080">
        <v>3</v>
      </c>
      <c r="N4" s="1164" t="s">
        <v>1275</v>
      </c>
      <c r="O4" s="1078" t="s">
        <v>1276</v>
      </c>
      <c r="Q4" s="1083" t="s">
        <v>1277</v>
      </c>
      <c r="R4" s="145" t="s">
        <v>1278</v>
      </c>
      <c r="S4" s="145" t="s">
        <v>1279</v>
      </c>
      <c r="T4" s="1084" t="s">
        <v>1280</v>
      </c>
      <c r="U4" s="1081" t="s">
        <v>1281</v>
      </c>
      <c r="V4" s="1085">
        <v>3</v>
      </c>
      <c r="W4" s="1086"/>
      <c r="X4" s="1086" t="s">
        <v>1282</v>
      </c>
      <c r="Y4" s="1077" t="s">
        <v>1222</v>
      </c>
      <c r="Z4" s="1093"/>
      <c r="AC4" s="1077" t="s">
        <v>1283</v>
      </c>
      <c r="AD4" s="1088" t="s">
        <v>1283</v>
      </c>
      <c r="AF4" s="1079" t="s">
        <v>1281</v>
      </c>
      <c r="AH4" s="1079" t="s">
        <v>1284</v>
      </c>
      <c r="AK4" s="1078" t="s">
        <v>1285</v>
      </c>
      <c r="AM4" s="1078" t="s">
        <v>1286</v>
      </c>
      <c r="AP4" s="1089" t="s">
        <v>1248</v>
      </c>
      <c r="AQ4" s="1090" t="s">
        <v>1248</v>
      </c>
      <c r="AS4" s="1077" t="s">
        <v>1287</v>
      </c>
      <c r="AU4" s="1122" t="s">
        <v>1288</v>
      </c>
      <c r="AW4" s="1122" t="s">
        <v>1289</v>
      </c>
      <c r="AX4" s="1122" t="s">
        <v>1289</v>
      </c>
      <c r="AZ4" s="1122" t="s">
        <v>1290</v>
      </c>
      <c r="BB4" s="1122" t="s">
        <v>1291</v>
      </c>
      <c r="BC4" s="1122" t="s">
        <v>1292</v>
      </c>
      <c r="BE4" s="1122">
        <v>2002</v>
      </c>
      <c r="BF4" s="1122" t="s">
        <v>1293</v>
      </c>
      <c r="BH4" s="1070" t="s">
        <v>1294</v>
      </c>
      <c r="BJ4" s="1070" t="s">
        <v>1294</v>
      </c>
      <c r="BL4" s="1070" t="s">
        <v>1294</v>
      </c>
      <c r="BN4" s="1070" t="s">
        <v>1294</v>
      </c>
      <c r="BQ4" s="1434" t="s">
        <v>1295</v>
      </c>
      <c r="BR4" s="1161" t="s">
        <v>1296</v>
      </c>
      <c r="BS4" s="276"/>
      <c r="BT4" s="1434" t="s">
        <v>1297</v>
      </c>
      <c r="BU4" s="1161" t="s">
        <v>1298</v>
      </c>
      <c r="BV4" s="1072"/>
      <c r="BW4" s="1699" t="s">
        <v>1299</v>
      </c>
      <c r="BX4" s="1693" t="s">
        <v>1300</v>
      </c>
      <c r="BZ4" s="1434" t="s">
        <v>1301</v>
      </c>
      <c r="CA4" s="1161" t="s">
        <v>1302</v>
      </c>
    </row>
    <row customHeight="1" ht="11.25">
      <c r="A5" s="1076" t="s">
        <v>1303</v>
      </c>
      <c r="B5" s="1077">
        <v>2003</v>
      </c>
      <c r="C5" s="1077">
        <v>2025</v>
      </c>
      <c r="E5" s="1078" t="s">
        <v>1304</v>
      </c>
      <c r="F5" s="1078" t="s">
        <v>1305</v>
      </c>
      <c r="H5" s="1079" t="s">
        <v>1306</v>
      </c>
      <c r="I5" s="1078" t="s">
        <v>91</v>
      </c>
      <c r="K5" s="1080" t="s">
        <v>1307</v>
      </c>
      <c r="L5" s="1081">
        <f>_xlfn.IFERROR(MATCH(K5,OFFER_METHOD,0),0)</f>
        <v>0</v>
      </c>
      <c r="M5" s="1080">
        <v>4</v>
      </c>
      <c r="N5" s="1094" t="s">
        <v>1308</v>
      </c>
      <c r="O5" s="1078" t="s">
        <v>1309</v>
      </c>
      <c r="Q5" s="1083" t="s">
        <v>1310</v>
      </c>
      <c r="R5" s="145" t="s">
        <v>1311</v>
      </c>
      <c r="T5" s="1079" t="s">
        <v>1312</v>
      </c>
      <c r="U5" s="1081" t="s">
        <v>1313</v>
      </c>
      <c r="V5" s="1085">
        <v>4</v>
      </c>
      <c r="W5" s="1086"/>
      <c r="X5" s="1086" t="s">
        <v>168</v>
      </c>
      <c r="Y5" s="1077" t="s">
        <v>1314</v>
      </c>
      <c r="Z5" s="1093">
        <v>1</v>
      </c>
      <c r="AF5" s="1079" t="s">
        <v>1315</v>
      </c>
      <c r="AH5" s="1078" t="s">
        <v>1316</v>
      </c>
      <c r="AK5" s="1078" t="s">
        <v>1317</v>
      </c>
      <c r="AM5" s="1078" t="s">
        <v>1318</v>
      </c>
      <c r="AP5" s="1089" t="s">
        <v>168</v>
      </c>
      <c r="AQ5" s="1090" t="s">
        <v>168</v>
      </c>
      <c r="AU5" s="1122" t="s">
        <v>1319</v>
      </c>
      <c r="AW5" s="1122" t="s">
        <v>1320</v>
      </c>
      <c r="AX5" s="1122" t="s">
        <v>1320</v>
      </c>
      <c r="AZ5" s="1122" t="s">
        <v>1321</v>
      </c>
      <c r="BB5" s="1122" t="s">
        <v>1322</v>
      </c>
      <c r="BC5" s="1122" t="s">
        <v>1323</v>
      </c>
      <c r="BE5" s="1122">
        <v>2003</v>
      </c>
      <c r="BF5" s="1122" t="s">
        <v>1324</v>
      </c>
      <c r="BH5" s="1070" t="s">
        <v>1325</v>
      </c>
      <c r="BJ5" s="1070" t="s">
        <v>1325</v>
      </c>
      <c r="BL5" s="1070" t="s">
        <v>1325</v>
      </c>
      <c r="BN5" s="1070" t="s">
        <v>1326</v>
      </c>
      <c r="BQ5" s="1283">
        <v>4213775</v>
      </c>
      <c r="BR5" s="1070" t="s">
        <v>1221</v>
      </c>
      <c r="BS5" s="1431"/>
      <c r="BT5" s="1283">
        <v>64236871</v>
      </c>
      <c r="BU5" s="1070" t="s">
        <v>229</v>
      </c>
      <c r="BV5" s="1072"/>
      <c r="BW5" s="1697">
        <v>4213767</v>
      </c>
      <c r="BX5" s="1695" t="s">
        <v>1327</v>
      </c>
      <c r="BZ5" s="1283">
        <v>64237509</v>
      </c>
      <c r="CA5" s="1297" t="s">
        <v>1328</v>
      </c>
    </row>
    <row customHeight="1" ht="11.25">
      <c r="A6" s="1076" t="s">
        <v>1329</v>
      </c>
      <c r="B6" s="1077">
        <v>2004</v>
      </c>
      <c r="C6" s="1077">
        <v>2026</v>
      </c>
      <c r="E6" s="1078" t="s">
        <v>1330</v>
      </c>
      <c r="F6" s="1095"/>
      <c r="H6" s="1079" t="s">
        <v>1331</v>
      </c>
      <c r="I6" s="1078" t="s">
        <v>111</v>
      </c>
      <c r="J6" s="1069" t="s">
        <v>1332</v>
      </c>
      <c r="L6" s="1081">
        <f>SUM(kind_of_control_method_filter)</f>
        <v>0</v>
      </c>
      <c r="N6" s="1094" t="s">
        <v>1333</v>
      </c>
      <c r="O6" s="1078" t="s">
        <v>1334</v>
      </c>
      <c r="R6" s="145" t="s">
        <v>1216</v>
      </c>
      <c r="T6" s="1079" t="s">
        <v>1335</v>
      </c>
      <c r="U6" s="1081" t="s">
        <v>1315</v>
      </c>
      <c r="V6" s="1085">
        <v>5</v>
      </c>
      <c r="W6" s="1086"/>
      <c r="X6" s="1077" t="s">
        <v>174</v>
      </c>
      <c r="Y6" s="1077" t="s">
        <v>1336</v>
      </c>
      <c r="Z6" s="1093"/>
      <c r="AA6" s="1096"/>
      <c r="AH6" s="1078" t="s">
        <v>1337</v>
      </c>
      <c r="AK6" s="1078" t="s">
        <v>1338</v>
      </c>
      <c r="AM6" s="1078" t="s">
        <v>1339</v>
      </c>
      <c r="AP6" s="1089" t="s">
        <v>174</v>
      </c>
      <c r="AQ6" s="1090" t="s">
        <v>174</v>
      </c>
      <c r="AU6" s="1122" t="s">
        <v>1340</v>
      </c>
      <c r="AW6" s="1122" t="s">
        <v>1341</v>
      </c>
      <c r="AX6" s="1122" t="s">
        <v>1341</v>
      </c>
      <c r="BB6" s="1122" t="s">
        <v>1342</v>
      </c>
      <c r="BC6" s="1122" t="s">
        <v>1323</v>
      </c>
      <c r="BE6" s="1122">
        <v>2004</v>
      </c>
      <c r="BF6" s="1122" t="s">
        <v>1343</v>
      </c>
      <c r="BH6" s="1070" t="s">
        <v>1344</v>
      </c>
      <c r="BJ6" s="1070" t="s">
        <v>1345</v>
      </c>
      <c r="BL6" s="1070" t="s">
        <v>1345</v>
      </c>
      <c r="BN6" s="1070" t="s">
        <v>1346</v>
      </c>
      <c r="BQ6" s="1283">
        <v>4213784</v>
      </c>
      <c r="BR6" s="1297" t="s">
        <v>1255</v>
      </c>
      <c r="BS6" s="1432"/>
      <c r="BT6" s="1283">
        <v>64236872</v>
      </c>
      <c r="BU6" s="1070" t="s">
        <v>234</v>
      </c>
      <c r="BV6" s="1072"/>
      <c r="BW6" s="1697">
        <v>4213768</v>
      </c>
      <c r="BX6" s="1695" t="s">
        <v>254</v>
      </c>
      <c r="BZ6" s="1283">
        <v>64237510</v>
      </c>
      <c r="CA6" s="1070" t="s">
        <v>1347</v>
      </c>
    </row>
    <row customHeight="1" ht="11.25">
      <c r="A7" s="1076" t="s">
        <v>1348</v>
      </c>
      <c r="B7" s="1077">
        <v>2005</v>
      </c>
      <c r="E7" s="1078" t="s">
        <v>1349</v>
      </c>
      <c r="F7" s="1095"/>
      <c r="H7" s="1079" t="s">
        <v>1350</v>
      </c>
      <c r="I7" s="1078" t="s">
        <v>92</v>
      </c>
      <c r="J7" s="1078" t="s">
        <v>1351</v>
      </c>
      <c r="N7" s="1098" t="s">
        <v>1352</v>
      </c>
      <c r="O7" s="1078" t="s">
        <v>1353</v>
      </c>
      <c r="U7" s="1081" t="s">
        <v>19</v>
      </c>
      <c r="V7" s="372" t="s">
        <v>92</v>
      </c>
      <c r="W7" s="1086"/>
      <c r="X7" s="1077" t="s">
        <v>180</v>
      </c>
      <c r="Y7" s="1077" t="s">
        <v>1314</v>
      </c>
      <c r="Z7" s="1093"/>
      <c r="AA7" s="1096"/>
      <c r="AH7" s="1078" t="s">
        <v>1354</v>
      </c>
      <c r="AK7" s="1078" t="s">
        <v>1355</v>
      </c>
      <c r="AM7" s="1078" t="s">
        <v>1356</v>
      </c>
      <c r="AP7" s="1089" t="s">
        <v>180</v>
      </c>
      <c r="AQ7" s="1090" t="s">
        <v>180</v>
      </c>
      <c r="AU7" s="1122" t="s">
        <v>1357</v>
      </c>
      <c r="AW7" s="1122" t="s">
        <v>1358</v>
      </c>
      <c r="AX7" s="1122" t="s">
        <v>1358</v>
      </c>
      <c r="AZ7" s="1069" t="s">
        <v>1359</v>
      </c>
      <c r="BB7" s="1122" t="s">
        <v>1360</v>
      </c>
      <c r="BC7" s="1122" t="s">
        <v>1323</v>
      </c>
      <c r="BE7" s="1122">
        <v>2005</v>
      </c>
      <c r="BF7" s="1122" t="s">
        <v>1361</v>
      </c>
      <c r="BH7" s="1070" t="s">
        <v>1362</v>
      </c>
      <c r="BJ7" s="1070" t="s">
        <v>1344</v>
      </c>
      <c r="BL7" s="1070" t="s">
        <v>1344</v>
      </c>
      <c r="BN7" s="1070" t="s">
        <v>1363</v>
      </c>
      <c r="BQ7" s="1283">
        <v>4213781</v>
      </c>
      <c r="BR7" s="1070" t="s">
        <v>1248</v>
      </c>
      <c r="BS7" s="1431"/>
      <c r="BT7" s="1283">
        <v>64236873</v>
      </c>
      <c r="BU7" s="1070" t="s">
        <v>239</v>
      </c>
      <c r="BV7" s="1072"/>
      <c r="BW7" s="1697">
        <v>4213769</v>
      </c>
      <c r="BX7" s="1695" t="s">
        <v>1364</v>
      </c>
      <c r="BZ7" s="1283">
        <v>64237511</v>
      </c>
      <c r="CA7" s="1070" t="s">
        <v>269</v>
      </c>
    </row>
    <row customHeight="1" ht="11.25">
      <c r="A8" s="1076" t="s">
        <v>1365</v>
      </c>
      <c r="B8" s="1077">
        <v>2006</v>
      </c>
      <c r="E8" s="1078" t="s">
        <v>1366</v>
      </c>
      <c r="F8" s="1095"/>
      <c r="H8" s="1079" t="s">
        <v>1367</v>
      </c>
      <c r="I8" s="1078" t="s">
        <v>93</v>
      </c>
      <c r="J8" s="1078" t="s">
        <v>1368</v>
      </c>
      <c r="N8" s="1165" t="s">
        <v>1369</v>
      </c>
      <c r="O8" s="1078" t="s">
        <v>1370</v>
      </c>
      <c r="V8" s="372" t="s">
        <v>93</v>
      </c>
      <c r="W8" s="1086"/>
      <c r="X8" s="1077" t="s">
        <v>186</v>
      </c>
      <c r="Y8" s="1077" t="s">
        <v>1314</v>
      </c>
      <c r="Z8" s="1093"/>
      <c r="AA8" s="1096"/>
      <c r="AK8" s="1078" t="s">
        <v>1371</v>
      </c>
      <c r="AP8" s="1089" t="s">
        <v>186</v>
      </c>
      <c r="AQ8" s="1090" t="s">
        <v>186</v>
      </c>
      <c r="AU8" s="1122" t="s">
        <v>1372</v>
      </c>
      <c r="AW8" s="1122" t="s">
        <v>1373</v>
      </c>
      <c r="AX8" s="1122" t="s">
        <v>1373</v>
      </c>
      <c r="AZ8" s="1122" t="s">
        <v>1374</v>
      </c>
      <c r="BB8" s="1122" t="s">
        <v>1375</v>
      </c>
      <c r="BC8" s="1122" t="s">
        <v>1323</v>
      </c>
      <c r="BE8" s="1122">
        <v>2006</v>
      </c>
      <c r="BF8" s="1122" t="s">
        <v>1376</v>
      </c>
      <c r="BH8" s="1070" t="s">
        <v>1377</v>
      </c>
      <c r="BJ8" s="1070" t="s">
        <v>1378</v>
      </c>
      <c r="BL8" s="1070" t="s">
        <v>1378</v>
      </c>
      <c r="BN8" s="1070" t="s">
        <v>1379</v>
      </c>
      <c r="BQ8" s="1283">
        <v>4213776</v>
      </c>
      <c r="BR8" s="1070" t="s">
        <v>168</v>
      </c>
      <c r="BS8" s="1431"/>
      <c r="BT8" s="1283">
        <v>64236874</v>
      </c>
      <c r="BU8" s="1297" t="s">
        <v>1380</v>
      </c>
      <c r="BV8" s="1072"/>
      <c r="BW8" s="1697">
        <v>4213770</v>
      </c>
      <c r="BX8" s="1698" t="s">
        <v>1381</v>
      </c>
      <c r="BZ8" s="1283">
        <v>64237512</v>
      </c>
      <c r="CA8" s="1070" t="s">
        <v>264</v>
      </c>
    </row>
    <row customHeight="1" ht="11.25">
      <c r="A9" s="1076" t="s">
        <v>1382</v>
      </c>
      <c r="B9" s="1077">
        <v>2007</v>
      </c>
      <c r="E9" s="1078" t="s">
        <v>1383</v>
      </c>
      <c r="F9" s="1095"/>
      <c r="G9" s="1069" t="s">
        <v>1384</v>
      </c>
      <c r="H9" s="1069" t="s">
        <v>1385</v>
      </c>
      <c r="I9" s="1078" t="s">
        <v>112</v>
      </c>
      <c r="O9" s="1078" t="s">
        <v>1386</v>
      </c>
      <c r="V9" s="372" t="s">
        <v>112</v>
      </c>
      <c r="W9" s="1086"/>
      <c r="X9" s="1077" t="s">
        <v>192</v>
      </c>
      <c r="Y9" s="1077" t="s">
        <v>1222</v>
      </c>
      <c r="Z9" s="1093">
        <v>1</v>
      </c>
      <c r="AA9" s="1096"/>
      <c r="AK9" s="1078" t="s">
        <v>1387</v>
      </c>
      <c r="AP9" s="1089" t="s">
        <v>1388</v>
      </c>
      <c r="AQ9" s="1090" t="s">
        <v>1388</v>
      </c>
      <c r="AW9" s="1122" t="s">
        <v>1389</v>
      </c>
      <c r="AX9" s="1122" t="s">
        <v>1389</v>
      </c>
      <c r="AZ9" s="1122" t="s">
        <v>1390</v>
      </c>
      <c r="BB9" s="1122" t="s">
        <v>1391</v>
      </c>
      <c r="BC9" s="1122" t="s">
        <v>1323</v>
      </c>
      <c r="BE9" s="1122">
        <v>2007</v>
      </c>
      <c r="BF9" s="1122" t="s">
        <v>1392</v>
      </c>
      <c r="BH9" s="1070" t="s">
        <v>1393</v>
      </c>
      <c r="BJ9" s="1070" t="s">
        <v>1394</v>
      </c>
      <c r="BL9" s="1070" t="s">
        <v>1394</v>
      </c>
      <c r="BN9" s="1070" t="s">
        <v>1395</v>
      </c>
      <c r="BQ9" s="1283">
        <v>4213777</v>
      </c>
      <c r="BR9" s="1070" t="s">
        <v>174</v>
      </c>
      <c r="BS9" s="1431"/>
      <c r="BT9" s="1283">
        <v>64236875</v>
      </c>
      <c r="BU9" s="1070" t="s">
        <v>244</v>
      </c>
      <c r="BV9" s="1072"/>
      <c r="BW9" s="1692"/>
      <c r="BX9" s="1692"/>
    </row>
    <row customHeight="1" ht="11.25">
      <c r="A10" s="1076" t="s">
        <v>16</v>
      </c>
      <c r="B10" s="1077">
        <v>2008</v>
      </c>
      <c r="E10" s="1078" t="s">
        <v>1396</v>
      </c>
      <c r="F10" s="1095"/>
      <c r="G10" s="1078" t="s">
        <v>1397</v>
      </c>
      <c r="H10" s="1078" t="s">
        <v>1398</v>
      </c>
      <c r="I10" s="1078" t="s">
        <v>150</v>
      </c>
      <c r="J10" s="1069" t="s">
        <v>1399</v>
      </c>
      <c r="K10" s="1069" t="s">
        <v>1400</v>
      </c>
      <c r="O10" s="1078" t="s">
        <v>1401</v>
      </c>
      <c r="V10" s="373" t="s">
        <v>150</v>
      </c>
      <c r="W10" s="1099"/>
      <c r="X10" s="1099" t="s">
        <v>1402</v>
      </c>
      <c r="Y10" s="1100" t="s">
        <v>1403</v>
      </c>
      <c r="Z10" s="1093"/>
      <c r="AP10" s="1089" t="s">
        <v>1402</v>
      </c>
      <c r="AQ10" s="1090" t="s">
        <v>1402</v>
      </c>
      <c r="AW10" s="1122" t="s">
        <v>1404</v>
      </c>
      <c r="AX10" s="1122" t="s">
        <v>1404</v>
      </c>
      <c r="AZ10" s="1122" t="s">
        <v>1405</v>
      </c>
      <c r="BB10" s="1122" t="s">
        <v>1406</v>
      </c>
      <c r="BC10" s="1122" t="s">
        <v>1323</v>
      </c>
      <c r="BE10" s="1122">
        <v>2008</v>
      </c>
      <c r="BF10" s="1122" t="s">
        <v>1407</v>
      </c>
      <c r="BH10" s="1070" t="s">
        <v>1408</v>
      </c>
      <c r="BJ10" s="1070" t="s">
        <v>1409</v>
      </c>
      <c r="BL10" s="1070" t="s">
        <v>1409</v>
      </c>
      <c r="BN10" s="1070" t="s">
        <v>1410</v>
      </c>
      <c r="BQ10" s="1283">
        <v>4213778</v>
      </c>
      <c r="BR10" s="1070" t="s">
        <v>180</v>
      </c>
      <c r="BS10" s="1431"/>
      <c r="BT10" s="1283">
        <v>64236876</v>
      </c>
      <c r="BU10" s="1070" t="s">
        <v>224</v>
      </c>
      <c r="BV10" s="1072"/>
      <c r="BW10" s="1692"/>
      <c r="BX10" s="1692"/>
    </row>
    <row customHeight="1" ht="11.25">
      <c r="A11" s="1076" t="s">
        <v>1411</v>
      </c>
      <c r="B11" s="1077">
        <v>2009</v>
      </c>
      <c r="E11" s="1078" t="s">
        <v>1412</v>
      </c>
      <c r="F11" s="1095"/>
      <c r="G11" s="1078" t="s">
        <v>1413</v>
      </c>
      <c r="H11" s="1078" t="s">
        <v>1414</v>
      </c>
      <c r="I11" s="1078" t="s">
        <v>151</v>
      </c>
      <c r="J11" s="1079" t="s">
        <v>1415</v>
      </c>
      <c r="K11" s="1101" t="s">
        <v>1416</v>
      </c>
      <c r="O11" s="1079" t="s">
        <v>1417</v>
      </c>
      <c r="V11" s="372" t="s">
        <v>151</v>
      </c>
      <c r="W11" s="277"/>
      <c r="X11" s="1086" t="s">
        <v>1388</v>
      </c>
      <c r="Y11" s="1077" t="s">
        <v>1418</v>
      </c>
      <c r="Z11" s="1093"/>
      <c r="AP11" s="1089" t="s">
        <v>192</v>
      </c>
      <c r="AQ11" s="1091" t="s">
        <v>192</v>
      </c>
      <c r="AW11" s="1122" t="s">
        <v>1419</v>
      </c>
      <c r="AX11" s="1122" t="s">
        <v>1419</v>
      </c>
      <c r="AZ11" s="1122" t="s">
        <v>1420</v>
      </c>
      <c r="BB11" s="1122" t="s">
        <v>1421</v>
      </c>
      <c r="BC11" s="1122" t="s">
        <v>1323</v>
      </c>
      <c r="BE11" s="1122">
        <v>2009</v>
      </c>
      <c r="BF11" s="1122" t="s">
        <v>1422</v>
      </c>
      <c r="BH11" s="1070" t="s">
        <v>1423</v>
      </c>
      <c r="BJ11" s="1070" t="s">
        <v>1393</v>
      </c>
      <c r="BL11" s="1070" t="s">
        <v>1393</v>
      </c>
      <c r="BN11" s="1070" t="s">
        <v>1424</v>
      </c>
      <c r="BQ11" s="1283">
        <v>4213780</v>
      </c>
      <c r="BR11" s="1070" t="s">
        <v>186</v>
      </c>
      <c r="BS11" s="1431"/>
      <c r="BW11" s="1692"/>
      <c r="BX11" s="1692"/>
    </row>
    <row customHeight="1" ht="11.25">
      <c r="A12" s="1076" t="s">
        <v>1425</v>
      </c>
      <c r="B12" s="1077">
        <v>2010</v>
      </c>
      <c r="E12" s="1078" t="s">
        <v>1426</v>
      </c>
      <c r="F12" s="1095"/>
      <c r="G12" s="1078" t="s">
        <v>1414</v>
      </c>
      <c r="I12" s="1078" t="s">
        <v>152</v>
      </c>
      <c r="J12" s="1079" t="s">
        <v>1427</v>
      </c>
      <c r="K12" s="1101" t="s">
        <v>1428</v>
      </c>
      <c r="O12" s="1079" t="s">
        <v>1216</v>
      </c>
      <c r="V12" s="372" t="s">
        <v>152</v>
      </c>
      <c r="W12" s="1091"/>
      <c r="X12" s="1086" t="s">
        <v>1429</v>
      </c>
      <c r="Y12" s="1077" t="s">
        <v>1222</v>
      </c>
      <c r="AP12" s="1089"/>
      <c r="AW12" s="1122" t="s">
        <v>151</v>
      </c>
      <c r="AX12" s="1122" t="s">
        <v>151</v>
      </c>
      <c r="AZ12" s="1122" t="s">
        <v>1430</v>
      </c>
      <c r="BB12" s="1122" t="s">
        <v>1431</v>
      </c>
      <c r="BC12" s="1122" t="s">
        <v>1323</v>
      </c>
      <c r="BE12" s="1122">
        <v>2010</v>
      </c>
      <c r="BF12" s="1122" t="s">
        <v>1432</v>
      </c>
      <c r="BH12" s="1070" t="s">
        <v>1433</v>
      </c>
      <c r="BJ12" s="1070" t="s">
        <v>1434</v>
      </c>
      <c r="BL12" s="1070" t="s">
        <v>1434</v>
      </c>
      <c r="BN12" s="1070" t="s">
        <v>1435</v>
      </c>
      <c r="BQ12" s="1283">
        <v>4213779</v>
      </c>
      <c r="BR12" s="1070" t="s">
        <v>1388</v>
      </c>
      <c r="BS12" s="1431"/>
      <c r="BT12" s="1072"/>
      <c r="BU12" s="1072"/>
      <c r="BV12" s="1072"/>
      <c r="BW12" s="1692"/>
      <c r="BX12" s="1692"/>
    </row>
    <row customHeight="1" ht="11.25">
      <c r="A13" s="1076" t="s">
        <v>1436</v>
      </c>
      <c r="B13" s="1077">
        <v>2011</v>
      </c>
      <c r="E13" s="1078" t="s">
        <v>1437</v>
      </c>
      <c r="F13" s="1095"/>
      <c r="I13" s="1078" t="s">
        <v>153</v>
      </c>
      <c r="K13" s="1101" t="s">
        <v>1387</v>
      </c>
      <c r="V13" s="372" t="s">
        <v>153</v>
      </c>
      <c r="W13" s="1091"/>
      <c r="X13" s="1091"/>
      <c r="Y13" s="1091"/>
      <c r="AW13" s="1122" t="s">
        <v>152</v>
      </c>
      <c r="AX13" s="1122" t="s">
        <v>152</v>
      </c>
      <c r="BB13" s="1122" t="s">
        <v>1438</v>
      </c>
      <c r="BC13" s="1122" t="s">
        <v>1439</v>
      </c>
      <c r="BE13" s="1122">
        <v>2011</v>
      </c>
      <c r="BF13" s="1122" t="s">
        <v>1440</v>
      </c>
      <c r="BH13" s="1070" t="s">
        <v>1441</v>
      </c>
      <c r="BJ13" s="1070" t="s">
        <v>1423</v>
      </c>
      <c r="BL13" s="1070" t="s">
        <v>1423</v>
      </c>
      <c r="BN13" s="1070" t="s">
        <v>1442</v>
      </c>
      <c r="BQ13" s="1283">
        <v>4213783</v>
      </c>
      <c r="BR13" s="1070" t="s">
        <v>1402</v>
      </c>
      <c r="BS13" s="1431"/>
      <c r="BT13" s="1072"/>
      <c r="BU13" s="1072"/>
      <c r="BV13" s="1072"/>
      <c r="BW13" s="1696"/>
      <c r="BX13" s="1692"/>
    </row>
    <row customHeight="1" ht="11.25">
      <c r="A14" s="1076" t="s">
        <v>1443</v>
      </c>
      <c r="B14" s="1077">
        <v>2012</v>
      </c>
      <c r="I14" s="1078" t="s">
        <v>154</v>
      </c>
      <c r="J14" s="1069" t="s">
        <v>1444</v>
      </c>
      <c r="N14" s="1069" t="s">
        <v>1445</v>
      </c>
      <c r="V14" s="1085">
        <v>13</v>
      </c>
      <c r="W14" s="1086"/>
      <c r="X14" s="1086" t="s">
        <v>1255</v>
      </c>
      <c r="Y14" s="1077" t="s">
        <v>1222</v>
      </c>
      <c r="AW14" s="1122" t="s">
        <v>153</v>
      </c>
      <c r="AX14" s="1122" t="s">
        <v>153</v>
      </c>
      <c r="AZ14" s="1069" t="s">
        <v>1446</v>
      </c>
      <c r="BB14" s="1122" t="s">
        <v>1447</v>
      </c>
      <c r="BC14" s="1122" t="s">
        <v>1439</v>
      </c>
      <c r="BE14" s="1122">
        <v>2012</v>
      </c>
      <c r="BH14" s="1070" t="s">
        <v>1363</v>
      </c>
      <c r="BJ14" s="1219" t="s">
        <v>1448</v>
      </c>
      <c r="BL14" s="1219" t="s">
        <v>1448</v>
      </c>
      <c r="BN14" s="1070" t="s">
        <v>1449</v>
      </c>
      <c r="BQ14" s="1283">
        <v>4213782</v>
      </c>
      <c r="BR14" s="1070" t="s">
        <v>192</v>
      </c>
      <c r="BS14" s="1431"/>
      <c r="BT14" s="1072"/>
      <c r="BU14" s="1072"/>
      <c r="BV14" s="1072"/>
      <c r="BW14" s="1696"/>
      <c r="BX14" s="1692"/>
    </row>
    <row customHeight="1" ht="19.5">
      <c r="A15" s="1076" t="s">
        <v>1450</v>
      </c>
      <c r="B15" s="1077">
        <v>2013</v>
      </c>
      <c r="E15" s="1700" t="s">
        <v>1451</v>
      </c>
      <c r="G15" s="1069" t="s">
        <v>1452</v>
      </c>
      <c r="H15" s="1069" t="s">
        <v>1453</v>
      </c>
      <c r="I15" s="1080" t="s">
        <v>155</v>
      </c>
      <c r="J15" s="1091" t="s">
        <v>583</v>
      </c>
      <c r="N15" s="1160" t="s">
        <v>1454</v>
      </c>
      <c r="X15" s="1089"/>
      <c r="AW15" s="1122" t="s">
        <v>154</v>
      </c>
      <c r="AX15" s="1122" t="s">
        <v>154</v>
      </c>
      <c r="AZ15" s="1122" t="s">
        <v>1374</v>
      </c>
      <c r="BB15" s="1122" t="s">
        <v>1455</v>
      </c>
      <c r="BC15" s="1122" t="s">
        <v>1439</v>
      </c>
      <c r="BE15" s="1122">
        <v>2013</v>
      </c>
      <c r="BH15" s="1070" t="s">
        <v>1379</v>
      </c>
      <c r="BJ15" s="1219" t="s">
        <v>1456</v>
      </c>
      <c r="BL15" s="1219" t="s">
        <v>1456</v>
      </c>
      <c r="BN15" s="1070" t="s">
        <v>1457</v>
      </c>
      <c r="BR15" s="1072"/>
      <c r="BS15" s="1433"/>
      <c r="BT15" s="1072"/>
      <c r="BU15" s="1072"/>
      <c r="BV15" s="1072"/>
      <c r="BW15" s="1696"/>
      <c r="BX15" s="1692"/>
    </row>
    <row customHeight="1" ht="21">
      <c r="A16" s="1872" t="s">
        <v>1458</v>
      </c>
      <c r="B16" s="1077">
        <v>2014</v>
      </c>
      <c r="E16" s="1701" t="s">
        <v>1459</v>
      </c>
      <c r="G16" s="1078" t="s">
        <v>1460</v>
      </c>
      <c r="H16" s="1078" t="s">
        <v>1461</v>
      </c>
      <c r="I16" s="1080" t="s">
        <v>1462</v>
      </c>
      <c r="J16" s="1091" t="s">
        <v>556</v>
      </c>
      <c r="N16" s="1160" t="s">
        <v>1463</v>
      </c>
      <c r="AW16" s="1122" t="s">
        <v>155</v>
      </c>
      <c r="AX16" s="1122" t="s">
        <v>155</v>
      </c>
      <c r="AZ16" s="1122" t="s">
        <v>1390</v>
      </c>
      <c r="BB16" s="1122" t="s">
        <v>1464</v>
      </c>
      <c r="BC16" s="1122" t="s">
        <v>1439</v>
      </c>
      <c r="BE16" s="1122">
        <v>2014</v>
      </c>
      <c r="BH16" s="1070" t="s">
        <v>1395</v>
      </c>
      <c r="BJ16" s="1219" t="s">
        <v>1465</v>
      </c>
      <c r="BL16" s="1219" t="s">
        <v>1465</v>
      </c>
      <c r="BN16" s="1070" t="s">
        <v>1466</v>
      </c>
      <c r="BR16" s="1072"/>
      <c r="BS16" s="1433"/>
      <c r="BT16" s="1072"/>
      <c r="BU16" s="1072"/>
      <c r="BV16" s="1072"/>
      <c r="BW16" s="1696"/>
      <c r="BX16" s="1692"/>
    </row>
    <row customHeight="1" ht="21">
      <c r="A17" s="1076" t="s">
        <v>1467</v>
      </c>
      <c r="B17" s="1077">
        <v>2015</v>
      </c>
      <c r="G17" s="1078" t="s">
        <v>1414</v>
      </c>
      <c r="H17" s="1078" t="s">
        <v>1414</v>
      </c>
      <c r="I17" s="1078" t="s">
        <v>1468</v>
      </c>
      <c r="N17" s="1160" t="s">
        <v>1469</v>
      </c>
      <c r="X17" s="1089"/>
      <c r="AW17" s="1122" t="s">
        <v>1462</v>
      </c>
      <c r="AX17" s="1122" t="s">
        <v>1462</v>
      </c>
      <c r="AZ17" s="1122" t="s">
        <v>1470</v>
      </c>
      <c r="BB17" s="1122" t="s">
        <v>1471</v>
      </c>
      <c r="BC17" s="1122" t="s">
        <v>1323</v>
      </c>
      <c r="BE17" s="1122">
        <v>2015</v>
      </c>
      <c r="BH17" s="1070" t="s">
        <v>1410</v>
      </c>
      <c r="BJ17" s="1219" t="s">
        <v>1472</v>
      </c>
      <c r="BL17" s="1219" t="s">
        <v>1472</v>
      </c>
      <c r="BN17" s="1070" t="s">
        <v>1473</v>
      </c>
      <c r="BR17" s="1069" t="s">
        <v>1266</v>
      </c>
      <c r="BS17" s="1430"/>
      <c r="BU17" s="1069" t="s">
        <v>1474</v>
      </c>
      <c r="BV17" s="1072"/>
      <c r="BW17" s="1692"/>
      <c r="BX17" s="1694" t="s">
        <v>1475</v>
      </c>
      <c r="CA17" s="1069" t="s">
        <v>1476</v>
      </c>
      <c r="CD17" s="1069" t="s">
        <v>1477</v>
      </c>
    </row>
    <row customHeight="1" ht="21">
      <c r="A18" s="1076" t="s">
        <v>1478</v>
      </c>
      <c r="B18" s="1077">
        <v>2016</v>
      </c>
      <c r="E18" s="2007" t="s">
        <v>1479</v>
      </c>
      <c r="I18" s="1078" t="s">
        <v>1480</v>
      </c>
      <c r="N18" s="1160" t="s">
        <v>1481</v>
      </c>
      <c r="X18" s="1089"/>
      <c r="AW18" s="1122" t="s">
        <v>1468</v>
      </c>
      <c r="AX18" s="1122" t="s">
        <v>1468</v>
      </c>
      <c r="BB18" s="1122" t="s">
        <v>1482</v>
      </c>
      <c r="BC18" s="1122" t="s">
        <v>1323</v>
      </c>
      <c r="BE18" s="1122">
        <v>2016</v>
      </c>
      <c r="BH18" s="1070" t="s">
        <v>1424</v>
      </c>
      <c r="BJ18" s="1219" t="s">
        <v>1483</v>
      </c>
      <c r="BL18" s="1219" t="s">
        <v>1483</v>
      </c>
      <c r="BN18" s="1070" t="s">
        <v>1484</v>
      </c>
      <c r="BQ18" s="1434" t="s">
        <v>1295</v>
      </c>
      <c r="BR18" s="1161" t="s">
        <v>1296</v>
      </c>
      <c r="BS18" s="276"/>
      <c r="BT18" s="1434" t="s">
        <v>1485</v>
      </c>
      <c r="BU18" s="1161" t="s">
        <v>1486</v>
      </c>
      <c r="BV18" s="1072"/>
      <c r="BW18" s="1699" t="s">
        <v>1487</v>
      </c>
      <c r="BX18" s="1693" t="s">
        <v>1488</v>
      </c>
      <c r="BZ18" s="1434" t="s">
        <v>1489</v>
      </c>
      <c r="CA18" s="1161" t="s">
        <v>1490</v>
      </c>
      <c r="CC18" s="1434" t="s">
        <v>1491</v>
      </c>
      <c r="CD18" s="1161" t="s">
        <v>1492</v>
      </c>
    </row>
    <row customHeight="1" ht="21">
      <c r="A19" s="1872" t="s">
        <v>1493</v>
      </c>
      <c r="B19" s="1077">
        <v>2017</v>
      </c>
      <c r="E19" s="1076" t="s">
        <v>167</v>
      </c>
      <c r="I19" s="1078" t="s">
        <v>1494</v>
      </c>
      <c r="N19" s="1160" t="s">
        <v>1495</v>
      </c>
      <c r="X19" s="1089"/>
      <c r="AW19" s="1122" t="s">
        <v>1480</v>
      </c>
      <c r="AX19" s="1122" t="s">
        <v>1480</v>
      </c>
      <c r="AZ19" s="1069" t="s">
        <v>1496</v>
      </c>
      <c r="BB19" s="1122" t="s">
        <v>1497</v>
      </c>
      <c r="BC19" s="1122" t="s">
        <v>1323</v>
      </c>
      <c r="BE19" s="1122">
        <v>2017</v>
      </c>
      <c r="BH19" s="1070" t="s">
        <v>1498</v>
      </c>
      <c r="BJ19" s="1219" t="s">
        <v>1499</v>
      </c>
      <c r="BL19" s="1219" t="s">
        <v>1499</v>
      </c>
      <c r="BQ19" s="1283">
        <v>4190064</v>
      </c>
      <c r="BR19" s="1070" t="s">
        <v>1500</v>
      </c>
      <c r="BS19" s="1431"/>
      <c r="BT19" s="1283">
        <v>4189671</v>
      </c>
      <c r="BU19" s="1070" t="s">
        <v>1501</v>
      </c>
      <c r="BV19" s="1072"/>
      <c r="BW19" s="1697">
        <v>4189706</v>
      </c>
      <c r="BX19" s="1695" t="s">
        <v>1502</v>
      </c>
      <c r="BZ19" s="1283">
        <v>4189714</v>
      </c>
      <c r="CA19" s="1070" t="s">
        <v>1503</v>
      </c>
      <c r="CC19" s="1283">
        <v>4189708</v>
      </c>
      <c r="CD19" s="1070" t="s">
        <v>1504</v>
      </c>
    </row>
    <row customHeight="1" ht="21">
      <c r="A20" s="1076" t="s">
        <v>1505</v>
      </c>
      <c r="B20" s="1077">
        <v>2018</v>
      </c>
      <c r="E20" s="1076" t="s">
        <v>1255</v>
      </c>
      <c r="I20" s="1078" t="s">
        <v>1506</v>
      </c>
      <c r="N20" s="1160" t="s">
        <v>1507</v>
      </c>
      <c r="AW20" s="1122" t="s">
        <v>1494</v>
      </c>
      <c r="AX20" s="1122" t="s">
        <v>1494</v>
      </c>
      <c r="AZ20" s="1122" t="s">
        <v>1508</v>
      </c>
      <c r="BB20" s="1122" t="s">
        <v>1509</v>
      </c>
      <c r="BC20" s="1122" t="s">
        <v>1439</v>
      </c>
      <c r="BE20" s="1122">
        <v>2018</v>
      </c>
      <c r="BH20" s="1070" t="s">
        <v>1435</v>
      </c>
      <c r="BJ20" s="1070" t="s">
        <v>1363</v>
      </c>
      <c r="BL20" s="1070" t="s">
        <v>1363</v>
      </c>
      <c r="BQ20" s="1283">
        <v>4190065</v>
      </c>
      <c r="BR20" s="1070" t="s">
        <v>1510</v>
      </c>
      <c r="BS20" s="1431"/>
      <c r="BT20" s="1283">
        <v>4189672</v>
      </c>
      <c r="BU20" s="1070" t="s">
        <v>1511</v>
      </c>
      <c r="BV20" s="1072"/>
      <c r="BW20" s="1697">
        <v>4189705</v>
      </c>
      <c r="BX20" s="1695" t="s">
        <v>1512</v>
      </c>
      <c r="BZ20" s="1283">
        <v>4189713</v>
      </c>
      <c r="CA20" s="1070" t="s">
        <v>1512</v>
      </c>
      <c r="CC20" s="1283">
        <v>4189709</v>
      </c>
      <c r="CD20" s="1070" t="s">
        <v>1513</v>
      </c>
    </row>
    <row customHeight="1" ht="21">
      <c r="A21" s="1076" t="s">
        <v>1514</v>
      </c>
      <c r="B21" s="1077">
        <v>2019</v>
      </c>
      <c r="I21" s="1078" t="s">
        <v>1515</v>
      </c>
      <c r="N21" s="1160" t="s">
        <v>1516</v>
      </c>
      <c r="AW21" s="1122" t="s">
        <v>1506</v>
      </c>
      <c r="AX21" s="1122" t="s">
        <v>1506</v>
      </c>
      <c r="AZ21" s="1122" t="s">
        <v>1517</v>
      </c>
      <c r="BB21" s="1122" t="s">
        <v>1518</v>
      </c>
      <c r="BC21" s="1122" t="s">
        <v>1323</v>
      </c>
      <c r="BE21" s="1122">
        <v>2019</v>
      </c>
      <c r="BH21" s="1070" t="s">
        <v>1442</v>
      </c>
      <c r="BJ21" s="1070" t="s">
        <v>1379</v>
      </c>
      <c r="BL21" s="1070" t="s">
        <v>1379</v>
      </c>
      <c r="BQ21" s="1283">
        <v>4190066</v>
      </c>
      <c r="BR21" s="1070" t="s">
        <v>1519</v>
      </c>
      <c r="BS21" s="1431"/>
      <c r="BT21" s="1283">
        <v>4189673</v>
      </c>
      <c r="BU21" s="1070" t="s">
        <v>1520</v>
      </c>
      <c r="BV21" s="1072"/>
      <c r="BW21" s="1697">
        <v>4189707</v>
      </c>
      <c r="BX21" s="1695" t="s">
        <v>1521</v>
      </c>
      <c r="BZ21" s="1283">
        <v>4189712</v>
      </c>
      <c r="CA21" s="1070" t="s">
        <v>1522</v>
      </c>
      <c r="CC21" s="1283">
        <v>4189710</v>
      </c>
      <c r="CD21" s="1070" t="s">
        <v>1523</v>
      </c>
    </row>
    <row customHeight="1" ht="21">
      <c r="A22" s="1076" t="s">
        <v>1524</v>
      </c>
      <c r="B22" s="1077">
        <v>2020</v>
      </c>
      <c r="N22" s="1160" t="s">
        <v>1525</v>
      </c>
      <c r="AW22" s="1122" t="s">
        <v>1515</v>
      </c>
      <c r="AX22" s="1122" t="s">
        <v>1515</v>
      </c>
      <c r="AZ22" s="1122" t="s">
        <v>1526</v>
      </c>
      <c r="BB22" s="1122" t="s">
        <v>1527</v>
      </c>
      <c r="BC22" s="1122" t="s">
        <v>1323</v>
      </c>
      <c r="BE22" s="1122">
        <v>2020</v>
      </c>
      <c r="BH22" s="1070" t="s">
        <v>1449</v>
      </c>
      <c r="BJ22" s="1070" t="s">
        <v>1395</v>
      </c>
      <c r="BL22" s="1070" t="s">
        <v>1395</v>
      </c>
      <c r="BQ22" s="1283">
        <v>4190067</v>
      </c>
      <c r="BR22" s="1070" t="s">
        <v>1528</v>
      </c>
      <c r="BS22" s="1431"/>
      <c r="BT22" s="1283">
        <v>4189674</v>
      </c>
      <c r="BU22" s="1070" t="s">
        <v>1529</v>
      </c>
      <c r="BV22" s="1072"/>
      <c r="BW22" s="1072"/>
      <c r="CC22" s="1283">
        <v>4189711</v>
      </c>
      <c r="CD22" s="1070" t="s">
        <v>293</v>
      </c>
    </row>
    <row customHeight="1" ht="21">
      <c r="A23" s="1076" t="s">
        <v>1530</v>
      </c>
      <c r="B23" s="1077">
        <v>2021</v>
      </c>
      <c r="AW23" s="1122" t="s">
        <v>1531</v>
      </c>
      <c r="AX23" s="1122" t="s">
        <v>1531</v>
      </c>
      <c r="AZ23" s="1122" t="s">
        <v>1532</v>
      </c>
      <c r="BB23" s="1122" t="s">
        <v>1533</v>
      </c>
      <c r="BC23" s="1122" t="s">
        <v>1232</v>
      </c>
      <c r="BE23" s="1122">
        <v>2021</v>
      </c>
      <c r="BH23" s="1070" t="s">
        <v>1457</v>
      </c>
      <c r="BJ23" s="1070" t="s">
        <v>1410</v>
      </c>
      <c r="BL23" s="1070" t="s">
        <v>1410</v>
      </c>
      <c r="BQ23" s="1283">
        <v>4190068</v>
      </c>
      <c r="BR23" s="1070" t="s">
        <v>1534</v>
      </c>
      <c r="BS23" s="1431"/>
      <c r="BT23" s="1283">
        <v>4189675</v>
      </c>
      <c r="BU23" s="1070" t="s">
        <v>1535</v>
      </c>
      <c r="BV23" s="1072"/>
      <c r="BW23" s="1072"/>
      <c r="CC23" s="1283">
        <v>5110778</v>
      </c>
      <c r="CD23" s="1070" t="s">
        <v>1536</v>
      </c>
    </row>
    <row customHeight="1" ht="21">
      <c r="A24" s="1076" t="s">
        <v>1537</v>
      </c>
      <c r="B24" s="1077">
        <v>2022</v>
      </c>
      <c r="AW24" s="1122" t="s">
        <v>99</v>
      </c>
      <c r="AX24" s="1122" t="s">
        <v>99</v>
      </c>
      <c r="AZ24" s="1122" t="s">
        <v>1538</v>
      </c>
      <c r="BB24" s="1122" t="s">
        <v>1539</v>
      </c>
      <c r="BC24" s="1122" t="s">
        <v>1540</v>
      </c>
      <c r="BE24" s="1122">
        <v>2022</v>
      </c>
      <c r="BH24" s="1070" t="s">
        <v>1466</v>
      </c>
      <c r="BJ24" s="1070" t="s">
        <v>1424</v>
      </c>
      <c r="BL24" s="1070" t="s">
        <v>1424</v>
      </c>
      <c r="BQ24" s="1283">
        <v>4190069</v>
      </c>
      <c r="BR24" s="1070" t="s">
        <v>1541</v>
      </c>
      <c r="BS24" s="1431"/>
      <c r="BT24" s="1283">
        <v>4189676</v>
      </c>
      <c r="BU24" s="1070" t="s">
        <v>1542</v>
      </c>
      <c r="BV24" s="1072"/>
      <c r="BW24" s="1072"/>
      <c r="CC24" s="1283">
        <v>25575374</v>
      </c>
      <c r="CD24" s="1070" t="s">
        <v>1543</v>
      </c>
    </row>
    <row customHeight="1" ht="11.25">
      <c r="A25" s="1076" t="s">
        <v>1544</v>
      </c>
      <c r="B25" s="1077">
        <v>2023</v>
      </c>
      <c r="AW25" s="1122" t="s">
        <v>1545</v>
      </c>
      <c r="AX25" s="1122" t="s">
        <v>1545</v>
      </c>
      <c r="AZ25" s="1122" t="s">
        <v>1546</v>
      </c>
      <c r="BB25" s="1122" t="s">
        <v>1547</v>
      </c>
      <c r="BC25" s="1122" t="s">
        <v>1540</v>
      </c>
      <c r="BE25" s="1122">
        <v>2023</v>
      </c>
      <c r="BH25" s="1070" t="s">
        <v>1473</v>
      </c>
      <c r="BJ25" s="1070" t="s">
        <v>1498</v>
      </c>
      <c r="BL25" s="1070" t="s">
        <v>1498</v>
      </c>
      <c r="BQ25" s="1283">
        <v>4190070</v>
      </c>
      <c r="BR25" s="1070" t="s">
        <v>1548</v>
      </c>
      <c r="BS25" s="1431"/>
      <c r="BT25" s="1283">
        <v>4189677</v>
      </c>
      <c r="BU25" s="1070" t="s">
        <v>1549</v>
      </c>
      <c r="BV25" s="1072"/>
      <c r="BW25" s="1072"/>
    </row>
    <row customHeight="1" ht="11.25">
      <c r="A26" s="1076" t="s">
        <v>1550</v>
      </c>
      <c r="B26" s="1077">
        <v>2024</v>
      </c>
      <c r="J26" s="1733" t="s">
        <v>1551</v>
      </c>
      <c r="AX26" s="1122" t="s">
        <v>1552</v>
      </c>
      <c r="AZ26" s="1122" t="s">
        <v>1417</v>
      </c>
      <c r="BB26" s="1122" t="s">
        <v>1553</v>
      </c>
      <c r="BC26" s="1122" t="s">
        <v>1540</v>
      </c>
      <c r="BE26" s="1122">
        <v>2024</v>
      </c>
      <c r="BH26" s="1070" t="s">
        <v>1484</v>
      </c>
      <c r="BJ26" s="1070" t="s">
        <v>1435</v>
      </c>
      <c r="BL26" s="1070" t="s">
        <v>1435</v>
      </c>
      <c r="BQ26" s="1283">
        <v>4190071</v>
      </c>
      <c r="BR26" s="1070" t="s">
        <v>1554</v>
      </c>
      <c r="BS26" s="1431"/>
      <c r="BV26" s="1072"/>
      <c r="BW26" s="1072"/>
    </row>
    <row customHeight="1" ht="11.25">
      <c r="A27" s="1076" t="s">
        <v>1555</v>
      </c>
      <c r="B27" s="1077">
        <v>2025</v>
      </c>
      <c r="J27" s="178" t="s">
        <v>689</v>
      </c>
      <c r="AX27" s="1122" t="s">
        <v>1556</v>
      </c>
      <c r="BB27" s="1122" t="s">
        <v>1557</v>
      </c>
      <c r="BC27" s="1122" t="s">
        <v>1540</v>
      </c>
      <c r="BE27" s="1122">
        <v>2025</v>
      </c>
      <c r="BH27" s="1072" t="s">
        <v>22</v>
      </c>
      <c r="BJ27" s="1070" t="s">
        <v>1442</v>
      </c>
      <c r="BL27" s="1070" t="s">
        <v>1442</v>
      </c>
      <c r="BN27" s="1072" t="s">
        <v>22</v>
      </c>
      <c r="BQ27" s="1283">
        <v>4190072</v>
      </c>
      <c r="BR27" s="1070" t="s">
        <v>1558</v>
      </c>
      <c r="BS27" s="1431"/>
      <c r="BV27" s="1072"/>
      <c r="BW27" s="1072"/>
    </row>
    <row customHeight="1" ht="11.25">
      <c r="A28" s="1076" t="s">
        <v>1559</v>
      </c>
      <c r="D28" s="1103"/>
      <c r="E28" s="1104"/>
      <c r="F28" s="1104"/>
      <c r="H28" s="1105" t="s">
        <v>1560</v>
      </c>
      <c r="AX28" s="1122" t="s">
        <v>1561</v>
      </c>
      <c r="AZ28" s="1069" t="s">
        <v>1562</v>
      </c>
      <c r="BB28" s="1122" t="s">
        <v>1563</v>
      </c>
      <c r="BC28" s="1122" t="s">
        <v>1564</v>
      </c>
      <c r="BE28" s="1122">
        <v>2026</v>
      </c>
      <c r="BH28" s="1072" t="s">
        <v>22</v>
      </c>
      <c r="BJ28" s="1070" t="s">
        <v>1449</v>
      </c>
      <c r="BL28" s="1070" t="s">
        <v>1449</v>
      </c>
      <c r="BN28" s="1072" t="s">
        <v>22</v>
      </c>
      <c r="BQ28" s="1283">
        <v>4190073</v>
      </c>
      <c r="BR28" s="1070" t="s">
        <v>1565</v>
      </c>
      <c r="BS28" s="1431"/>
      <c r="BV28" s="1072"/>
      <c r="BW28" s="1072"/>
    </row>
    <row customHeight="1" ht="11.25">
      <c r="A29" s="1076" t="s">
        <v>1566</v>
      </c>
      <c r="D29" s="1106" t="s">
        <v>1567</v>
      </c>
      <c r="E29" s="1107" t="str">
        <f>IF(TEMPLATE_GROUP="","",INDEX(StartDateList,MATCH(TEMPLATE_GROUP,CodeTemplateList,0),1))</f>
        <v>01.07.2024</v>
      </c>
      <c r="F29" s="1107" t="str">
        <f>IF(TEMPLATE_GROUP="","",INDEX(EndDateList,MATCH(TEMPLATE_GROUP,CodeTemplateList,0),1))</f>
        <v>30.09.2024</v>
      </c>
      <c r="H29" s="1108" t="s">
        <v>1568</v>
      </c>
      <c r="AX29" s="1122" t="s">
        <v>1569</v>
      </c>
      <c r="AZ29" s="1122" t="s">
        <v>1217</v>
      </c>
      <c r="BB29" s="1122" t="s">
        <v>1417</v>
      </c>
      <c r="BC29" s="1093"/>
      <c r="BE29" s="1122">
        <v>2027</v>
      </c>
      <c r="BJ29" s="1070" t="s">
        <v>1457</v>
      </c>
      <c r="BL29" s="1070" t="s">
        <v>1457</v>
      </c>
    </row>
    <row customHeight="1" ht="11.25">
      <c r="A30" s="1076" t="s">
        <v>1570</v>
      </c>
      <c r="D30" s="1109"/>
      <c r="E30" s="1110"/>
      <c r="F30" s="1110"/>
      <c r="AX30" s="1122" t="s">
        <v>1571</v>
      </c>
      <c r="AZ30" s="1122" t="s">
        <v>1244</v>
      </c>
      <c r="BE30" s="1122">
        <v>2028</v>
      </c>
      <c r="BJ30" s="1070" t="s">
        <v>1572</v>
      </c>
      <c r="BL30" s="1070" t="s">
        <v>1572</v>
      </c>
    </row>
    <row customHeight="1" ht="12.75">
      <c r="A31" s="1076" t="s">
        <v>1573</v>
      </c>
      <c r="D31" s="1103"/>
      <c r="E31" s="1104"/>
      <c r="F31" s="1104"/>
      <c r="H31" s="1111"/>
      <c r="AX31" s="1122" t="s">
        <v>1574</v>
      </c>
      <c r="AZ31" s="1122" t="s">
        <v>1575</v>
      </c>
      <c r="BE31" s="1122">
        <v>2029</v>
      </c>
      <c r="BJ31" s="1070" t="s">
        <v>1576</v>
      </c>
      <c r="BL31" s="1070" t="s">
        <v>1576</v>
      </c>
    </row>
    <row customHeight="1" ht="11.25">
      <c r="A32" s="1076" t="s">
        <v>1577</v>
      </c>
      <c r="D32" s="1106" t="s">
        <v>1578</v>
      </c>
      <c r="E32" s="1107" t="str">
        <f>IF(TEMPLATE_GROUP="","",INDEX(StartDateList,MATCH(TEMPLATE_GROUP,CodeTemplateList,0),1))</f>
        <v>01.07.2024</v>
      </c>
      <c r="F32" s="1107" t="str">
        <f>IF(TEMPLATE_GROUP="","",INDEX(EndDateList,MATCH(TEMPLATE_GROUP,CodeTemplateList,0),1))</f>
        <v>30.09.2024</v>
      </c>
      <c r="H32" s="1112" t="s">
        <v>1579</v>
      </c>
      <c r="O32" s="1076" t="s">
        <v>1215</v>
      </c>
      <c r="AX32" s="1122" t="s">
        <v>1580</v>
      </c>
      <c r="AZ32" s="1122" t="s">
        <v>1311</v>
      </c>
      <c r="BE32" s="1122">
        <v>2030</v>
      </c>
      <c r="BJ32" s="1070" t="s">
        <v>1466</v>
      </c>
      <c r="BL32" s="1070" t="s">
        <v>1466</v>
      </c>
    </row>
    <row customHeight="1" ht="11.25">
      <c r="A33" s="1076" t="s">
        <v>1581</v>
      </c>
      <c r="O33" s="1076" t="s">
        <v>1241</v>
      </c>
      <c r="AX33" s="1122" t="s">
        <v>1582</v>
      </c>
      <c r="AZ33" s="1122" t="s">
        <v>1216</v>
      </c>
      <c r="BE33" s="1122">
        <v>2031</v>
      </c>
      <c r="BJ33" s="1070" t="s">
        <v>1473</v>
      </c>
      <c r="BL33" s="1070" t="s">
        <v>1473</v>
      </c>
    </row>
    <row customHeight="1" ht="11.25">
      <c r="A34" s="1076" t="s">
        <v>1583</v>
      </c>
      <c r="O34" s="1076" t="s">
        <v>1276</v>
      </c>
      <c r="AX34" s="1122" t="s">
        <v>1584</v>
      </c>
      <c r="BE34" s="1122">
        <v>2032</v>
      </c>
      <c r="BJ34" s="1070" t="s">
        <v>1484</v>
      </c>
      <c r="BL34" s="1070" t="s">
        <v>1484</v>
      </c>
    </row>
    <row customHeight="1" ht="11.25">
      <c r="A35" s="1076" t="s">
        <v>1585</v>
      </c>
      <c r="O35" s="1076" t="s">
        <v>1309</v>
      </c>
      <c r="AX35" s="1122" t="s">
        <v>1586</v>
      </c>
      <c r="AZ35" s="1069" t="s">
        <v>1587</v>
      </c>
      <c r="BE35" s="1122">
        <v>2033</v>
      </c>
      <c r="BL35" s="1070" t="s">
        <v>1588</v>
      </c>
    </row>
    <row customHeight="1" ht="11.25">
      <c r="A36" s="1872" t="s">
        <v>1589</v>
      </c>
      <c r="D36" s="1113" t="s">
        <v>1590</v>
      </c>
      <c r="E36" s="1114" t="s">
        <v>808</v>
      </c>
      <c r="F36" s="1115" t="str">
        <f>INDEX(E37:E41,MATCH(TEMPLATE_SPHERE,F37:F41,0))</f>
        <v>теплоснабжения</v>
      </c>
      <c r="G36" s="1115" t="str">
        <f>INDEX(G37:G41,MATCH(TEMPLATE_SPHERE,F37:F41,0))</f>
        <v>теплоснабжение</v>
      </c>
      <c r="O36" s="1076" t="s">
        <v>1334</v>
      </c>
      <c r="AX36" s="1122" t="s">
        <v>1591</v>
      </c>
      <c r="AZ36" s="1122" t="s">
        <v>1216</v>
      </c>
      <c r="BE36" s="1122">
        <v>2034</v>
      </c>
      <c r="BL36" s="1070" t="s">
        <v>1592</v>
      </c>
    </row>
    <row customHeight="1" ht="11.25">
      <c r="A37" s="1076" t="s">
        <v>1593</v>
      </c>
      <c r="E37" s="409" t="s">
        <v>1594</v>
      </c>
      <c r="F37" s="1116" t="s">
        <v>808</v>
      </c>
      <c r="G37" s="409" t="s">
        <v>1595</v>
      </c>
      <c r="O37" s="1076" t="s">
        <v>1353</v>
      </c>
      <c r="AX37" s="1122" t="s">
        <v>1596</v>
      </c>
      <c r="AZ37" s="1122" t="s">
        <v>1243</v>
      </c>
      <c r="BE37" s="1122">
        <v>2035</v>
      </c>
    </row>
    <row customHeight="1" ht="11.25">
      <c r="A38" s="1076" t="s">
        <v>1597</v>
      </c>
      <c r="E38" s="409" t="s">
        <v>1598</v>
      </c>
      <c r="F38" s="1117" t="s">
        <v>854</v>
      </c>
      <c r="G38" s="409" t="s">
        <v>1599</v>
      </c>
      <c r="O38" s="1076" t="s">
        <v>1370</v>
      </c>
      <c r="AX38" s="1122" t="s">
        <v>1600</v>
      </c>
      <c r="AZ38" s="1122" t="s">
        <v>1277</v>
      </c>
      <c r="BE38" s="1122">
        <v>2036</v>
      </c>
      <c r="BH38" s="1069" t="s">
        <v>1601</v>
      </c>
      <c r="BJ38" s="1069" t="s">
        <v>1602</v>
      </c>
      <c r="BL38" s="1069" t="s">
        <v>1603</v>
      </c>
      <c r="BN38" s="1069" t="s">
        <v>1604</v>
      </c>
    </row>
    <row customHeight="1" ht="11.25">
      <c r="A39" s="1076" t="s">
        <v>1605</v>
      </c>
      <c r="E39" s="409" t="s">
        <v>1606</v>
      </c>
      <c r="F39" s="1117" t="s">
        <v>907</v>
      </c>
      <c r="G39" s="409" t="s">
        <v>1607</v>
      </c>
      <c r="O39" s="1076" t="s">
        <v>1386</v>
      </c>
      <c r="AX39" s="1122" t="s">
        <v>1608</v>
      </c>
      <c r="AZ39" s="1122" t="s">
        <v>1310</v>
      </c>
      <c r="BE39" s="1122">
        <v>2037</v>
      </c>
      <c r="BH39" s="1070" t="s">
        <v>1609</v>
      </c>
      <c r="BJ39" s="1219" t="s">
        <v>1609</v>
      </c>
      <c r="BL39" s="1219" t="s">
        <v>1609</v>
      </c>
      <c r="BN39" s="1070" t="s">
        <v>1610</v>
      </c>
    </row>
    <row customHeight="1" ht="11.25">
      <c r="A40" s="1076" t="s">
        <v>1611</v>
      </c>
      <c r="E40" s="409" t="s">
        <v>1612</v>
      </c>
      <c r="F40" s="1117" t="s">
        <v>894</v>
      </c>
      <c r="G40" s="409" t="s">
        <v>1613</v>
      </c>
      <c r="O40" s="1076" t="s">
        <v>1401</v>
      </c>
      <c r="AX40" s="1122" t="s">
        <v>1614</v>
      </c>
      <c r="BE40" s="1122">
        <v>2038</v>
      </c>
      <c r="BH40" s="1070" t="s">
        <v>1615</v>
      </c>
      <c r="BJ40" s="1219" t="s">
        <v>1028</v>
      </c>
      <c r="BL40" s="1219" t="s">
        <v>1028</v>
      </c>
      <c r="BN40" s="1070" t="s">
        <v>1062</v>
      </c>
    </row>
    <row customHeight="1" ht="11.25">
      <c r="A41" s="1076" t="s">
        <v>1616</v>
      </c>
      <c r="E41" s="409" t="s">
        <v>1617</v>
      </c>
      <c r="F41" s="1117" t="s">
        <v>1618</v>
      </c>
      <c r="G41" s="409" t="s">
        <v>1617</v>
      </c>
      <c r="O41" s="1076" t="s">
        <v>1417</v>
      </c>
      <c r="AX41" s="1122" t="s">
        <v>1619</v>
      </c>
      <c r="AZ41" s="1069" t="s">
        <v>1620</v>
      </c>
      <c r="BE41" s="1122">
        <v>2039</v>
      </c>
      <c r="BH41" s="1070" t="s">
        <v>1621</v>
      </c>
      <c r="BJ41" s="1219" t="s">
        <v>1024</v>
      </c>
      <c r="BL41" s="1219" t="s">
        <v>1024</v>
      </c>
      <c r="BN41" s="1070" t="s">
        <v>1049</v>
      </c>
    </row>
    <row customHeight="1" ht="11.25">
      <c r="A42" s="1076" t="s">
        <v>1622</v>
      </c>
      <c r="AX42" s="1122" t="s">
        <v>1623</v>
      </c>
      <c r="AZ42" s="1122" t="s">
        <v>1215</v>
      </c>
      <c r="BE42" s="1122">
        <v>2040</v>
      </c>
      <c r="BH42" s="1070" t="s">
        <v>1046</v>
      </c>
      <c r="BJ42" s="1219" t="s">
        <v>1026</v>
      </c>
      <c r="BL42" s="1219" t="s">
        <v>1026</v>
      </c>
      <c r="BN42" s="1070" t="s">
        <v>1624</v>
      </c>
    </row>
    <row customHeight="1" ht="11.25">
      <c r="A43" s="1076" t="s">
        <v>1625</v>
      </c>
      <c r="AX43" s="1122" t="s">
        <v>1626</v>
      </c>
      <c r="AZ43" s="1122" t="s">
        <v>1241</v>
      </c>
      <c r="BE43" s="1122">
        <v>2041</v>
      </c>
      <c r="BH43" s="1070" t="s">
        <v>1627</v>
      </c>
      <c r="BJ43" s="1219" t="s">
        <v>1621</v>
      </c>
      <c r="BL43" s="1219" t="s">
        <v>1621</v>
      </c>
      <c r="BN43" s="1070" t="s">
        <v>1628</v>
      </c>
    </row>
    <row customHeight="1" ht="11.25">
      <c r="A44" s="1076" t="s">
        <v>1629</v>
      </c>
      <c r="G44" s="1096">
        <f>YEAR(TODAY())</f>
        <v>2024</v>
      </c>
      <c r="I44" s="801" t="s">
        <v>1630</v>
      </c>
      <c r="J44" s="1091" t="s">
        <v>1631</v>
      </c>
      <c r="K44" s="1091" t="s">
        <v>1632</v>
      </c>
      <c r="AX44" s="1122" t="s">
        <v>1633</v>
      </c>
      <c r="AZ44" s="1122" t="s">
        <v>1276</v>
      </c>
      <c r="BE44" s="1122">
        <v>2042</v>
      </c>
      <c r="BH44" s="1070" t="s">
        <v>1634</v>
      </c>
      <c r="BJ44" s="1219" t="s">
        <v>1046</v>
      </c>
      <c r="BL44" s="1219" t="s">
        <v>1046</v>
      </c>
      <c r="BN44" s="1070" t="s">
        <v>1635</v>
      </c>
    </row>
    <row customHeight="1" ht="11.25">
      <c r="A45" s="1076" t="s">
        <v>1636</v>
      </c>
      <c r="D45" s="1113" t="s">
        <v>1637</v>
      </c>
      <c r="E45" s="1114" t="s">
        <v>1638</v>
      </c>
      <c r="F45" s="799" t="s">
        <v>1639</v>
      </c>
      <c r="G45" s="798" t="s">
        <v>1640</v>
      </c>
      <c r="H45" s="801" t="s">
        <v>1641</v>
      </c>
      <c r="I45" s="1743">
        <f>INDEX(PeriodIsEmptyList,MATCH(TEMPLATE_GROUP,CodeTemplateList,0),1)</f>
        <v>0</v>
      </c>
      <c r="J45" s="1746"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2" t="s">
        <v>1642</v>
      </c>
      <c r="AZ45" s="1122" t="s">
        <v>1309</v>
      </c>
      <c r="BE45" s="1122">
        <v>2043</v>
      </c>
      <c r="BH45" s="1070" t="s">
        <v>1643</v>
      </c>
      <c r="BJ45" s="1219" t="s">
        <v>1040</v>
      </c>
      <c r="BL45" s="1219" t="s">
        <v>1040</v>
      </c>
      <c r="BN45" s="1070" t="s">
        <v>1644</v>
      </c>
    </row>
    <row customHeight="1" ht="11.25">
      <c r="A46" s="1076" t="s">
        <v>1645</v>
      </c>
      <c r="E46" s="409" t="s">
        <v>27</v>
      </c>
      <c r="F46" s="1116" t="s">
        <v>1646</v>
      </c>
      <c r="G46" s="1118" t="str">
        <f>_xlfn.IFERROR(IF(TITLE_DATE_FIL="","01.01."&amp;CURRENT_YEAR,"01.01."&amp;YEAR(TITLE_DATE_FIL)),"01.01."&amp;CURRENT_YEAR)</f>
        <v>01.01.2024</v>
      </c>
      <c r="H46" s="1118" t="str">
        <f>_xlfn.IFERROR(IF(TITLE_DATE_FIL="","31.12."&amp;CURRENT_YEAR,"31.12."&amp;YEAR(TITLE_DATE_FIL)),"31.12."&amp;CURRENT_YEAR)</f>
        <v>31.12.2024</v>
      </c>
      <c r="I46" s="1744">
        <f>IF(TITLE_DATE_FIL="",TRUE,FALSE)</f>
        <v>1</v>
      </c>
      <c r="J46" s="1747" t="str">
        <f>"Общая информация о регулируемой организации ("&amp;TEMPLATE_SPHERE_RUS&amp;")"</f>
        <v>Общая информация о регулируемой организации (теплоснабжения)</v>
      </c>
      <c r="K46" s="1748"/>
      <c r="AX46" s="1122" t="s">
        <v>1647</v>
      </c>
      <c r="AZ46" s="1122" t="s">
        <v>1334</v>
      </c>
      <c r="BE46" s="1122">
        <v>2044</v>
      </c>
      <c r="BH46" s="1070" t="s">
        <v>1049</v>
      </c>
      <c r="BJ46" s="1219" t="s">
        <v>1030</v>
      </c>
      <c r="BL46" s="1219" t="s">
        <v>1030</v>
      </c>
      <c r="BN46" s="1070" t="s">
        <v>1648</v>
      </c>
    </row>
    <row customHeight="1" ht="11.25">
      <c r="A47" s="1076" t="s">
        <v>1649</v>
      </c>
      <c r="E47" s="409" t="s">
        <v>33</v>
      </c>
      <c r="F47" s="1117" t="s">
        <v>1638</v>
      </c>
      <c r="G47" s="1118" t="str">
        <f>_xlfn.IFERROR(IF(f_year="","01.01."&amp;CURRENT_YEAR,IF(LEN(f_quart)=0,"01.01."&amp;f_year,IF(f_quart="I квартал","01.01."&amp;f_year,IF(f_quart="II квартал","01.04."&amp;f_year,(IF(f_quart="III квартал","01.07."&amp;f_year,"01.10."&amp;f_year)))))),"01.01."&amp;CURRENT_YEAR)</f>
        <v>01.07.2024</v>
      </c>
      <c r="H47" s="1118" t="str">
        <f>_xlfn.IFERROR(IF(f_year="","31.12."&amp;CURRENT_YEAR,IF(LEN(f_quart)=0,"31.12."&amp;f_year,IF(f_quart="I квартал","31.03."&amp;f_year,IF(f_quart="II квартал","30.06."&amp;f_year,(IF(f_quart="III квартал","30.09."&amp;f_year,"31.12."&amp;f_year)))))),"31.12."&amp;CURRENT_YEAR)</f>
        <v>30.09.2024</v>
      </c>
      <c r="I47" s="1745">
        <f>IF(OR(f_year="",f_quart=""),TRUE,FALSE)</f>
        <v>0</v>
      </c>
      <c r="J47" s="174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8"/>
      <c r="AX47" s="1122" t="s">
        <v>1650</v>
      </c>
      <c r="AZ47" s="1122" t="s">
        <v>1353</v>
      </c>
      <c r="BE47" s="1122">
        <v>2045</v>
      </c>
      <c r="BH47" s="1070" t="s">
        <v>1624</v>
      </c>
      <c r="BJ47" s="1219" t="s">
        <v>1032</v>
      </c>
      <c r="BL47" s="1219" t="s">
        <v>1032</v>
      </c>
      <c r="BN47" s="1070" t="s">
        <v>1651</v>
      </c>
    </row>
    <row customHeight="1" ht="11.25">
      <c r="A48" s="1076" t="s">
        <v>1652</v>
      </c>
      <c r="E48" s="409" t="s">
        <v>1653</v>
      </c>
      <c r="F48" s="1117" t="s">
        <v>1654</v>
      </c>
      <c r="G48" s="1118" t="str">
        <f>_xlfn.IFERROR(IF(f_year="","01.01."&amp;CURRENT_YEAR,"01.01."&amp;f_year),"01.01."&amp;CURRENT_YEAR)</f>
        <v>01.01.2024</v>
      </c>
      <c r="H48" s="1118" t="str">
        <f>_xlfn.IFERROR(IF(f_year="","31.12."&amp;CURRENT_YEAR,"31.12."&amp;f_year),"31.12."&amp;CURRENT_YEAR)</f>
        <v>31.12.2024</v>
      </c>
      <c r="I48" s="1744">
        <f>IF(f_year="",TRUE,FALSE)</f>
        <v>0</v>
      </c>
      <c r="J48" s="1747" t="s">
        <v>1655</v>
      </c>
      <c r="K48" s="1748"/>
      <c r="AX48" s="1122" t="s">
        <v>1656</v>
      </c>
      <c r="AZ48" s="1122" t="s">
        <v>1370</v>
      </c>
      <c r="BE48" s="1122">
        <v>2046</v>
      </c>
      <c r="BH48" s="1070" t="s">
        <v>1628</v>
      </c>
      <c r="BJ48" s="1219" t="s">
        <v>1034</v>
      </c>
      <c r="BL48" s="1219" t="s">
        <v>1034</v>
      </c>
      <c r="BN48" s="1070" t="s">
        <v>1657</v>
      </c>
    </row>
    <row customHeight="1" ht="11.25">
      <c r="A49" s="1076" t="s">
        <v>1658</v>
      </c>
      <c r="E49" s="409" t="s">
        <v>1659</v>
      </c>
      <c r="F49" s="1117" t="s">
        <v>1660</v>
      </c>
      <c r="G49" s="1118" t="str">
        <f>_xlfn.IFERROR(IF(f_year="","01.01."&amp;CURRENT_YEAR,"01.01."&amp;f_year),"01.01."&amp;CURRENT_YEAR)</f>
        <v>01.01.2024</v>
      </c>
      <c r="H49" s="1118" t="str">
        <f>_xlfn.IFERROR(IF(f_year="","31.12."&amp;CURRENT_YEAR,"31.12."&amp;f_year),"31.12."&amp;CURRENT_YEAR)</f>
        <v>31.12.2024</v>
      </c>
      <c r="I49" s="1744">
        <f>IF(f_year="",TRUE,FALSE)</f>
        <v>0</v>
      </c>
      <c r="J49" s="174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8"/>
      <c r="AX49" s="1122" t="s">
        <v>1661</v>
      </c>
      <c r="AZ49" s="1122" t="s">
        <v>1386</v>
      </c>
      <c r="BE49" s="1122">
        <v>2047</v>
      </c>
      <c r="BH49" s="1070" t="s">
        <v>1050</v>
      </c>
      <c r="BJ49" s="1219" t="s">
        <v>1036</v>
      </c>
      <c r="BL49" s="1219" t="s">
        <v>1036</v>
      </c>
    </row>
    <row customHeight="1" ht="11.25">
      <c r="A50" s="1076" t="s">
        <v>1662</v>
      </c>
      <c r="E50" s="409" t="s">
        <v>1663</v>
      </c>
      <c r="F50" s="1117" t="s">
        <v>1020</v>
      </c>
      <c r="G50" s="1118" t="str">
        <f>_xlfn.IFERROR(IF(f_year="","01.01."&amp;CURRENT_YEAR,"01.01."&amp;f_year),"01.01."&amp;CURRENT_YEAR)</f>
        <v>01.01.2024</v>
      </c>
      <c r="H50" s="1118" t="str">
        <f>_xlfn.IFERROR(IF(f_year="","31.12."&amp;CURRENT_YEAR,"31.12."&amp;f_year),"31.12."&amp;CURRENT_YEAR)</f>
        <v>31.12.2024</v>
      </c>
      <c r="I50" s="1744">
        <f>IF(f_year="",TRUE,FALSE)</f>
        <v>0</v>
      </c>
      <c r="J50" s="174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8"/>
      <c r="AX50" s="1122" t="s">
        <v>1664</v>
      </c>
      <c r="AZ50" s="1122" t="s">
        <v>1401</v>
      </c>
      <c r="BE50" s="1122">
        <v>2048</v>
      </c>
      <c r="BH50" s="1070" t="s">
        <v>1635</v>
      </c>
      <c r="BJ50" s="1219" t="s">
        <v>1038</v>
      </c>
      <c r="BL50" s="1219" t="s">
        <v>1038</v>
      </c>
    </row>
    <row customHeight="1" ht="11.25">
      <c r="A51" s="1076" t="s">
        <v>1665</v>
      </c>
      <c r="E51" s="409" t="s">
        <v>1666</v>
      </c>
      <c r="F51" s="1117" t="s">
        <v>1667</v>
      </c>
      <c r="G51" s="1118" t="str">
        <f>_xlfn.IFERROR(IF(TITLE_PERIOD_START="","01.01."&amp;CURRENT_YEAR,"01.01."&amp;YEAR(TITLE_PERIOD_START)),"01.01."&amp;CURRENT_YEAR)</f>
        <v>01.01.2024</v>
      </c>
      <c r="H51" s="1118" t="str">
        <f>_xlfn.IFERROR(IF(TITLE_PERIOD_END="","31.12."&amp;CURRENT_YEAR,"31.12."&amp;YEAR(TITLE_PERIOD_END)),"31.12."&amp;CURRENT_YEAR)</f>
        <v>31.12.2024</v>
      </c>
      <c r="I51" s="1745">
        <f>IF(OR(TITLE_PERIOD_START="",TITLE_PERIOD_END=""),TRUE,FALSE)</f>
        <v>1</v>
      </c>
      <c r="J51" s="174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8"/>
      <c r="AX51" s="1122" t="s">
        <v>1668</v>
      </c>
      <c r="AZ51" s="1122" t="s">
        <v>1417</v>
      </c>
      <c r="BE51" s="1122">
        <v>2049</v>
      </c>
      <c r="BH51" s="1070" t="s">
        <v>1644</v>
      </c>
      <c r="BJ51" s="1219" t="s">
        <v>1669</v>
      </c>
      <c r="BL51" s="1219" t="s">
        <v>1669</v>
      </c>
    </row>
    <row customHeight="1" ht="11.25">
      <c r="A52" s="1076" t="s">
        <v>1670</v>
      </c>
      <c r="E52" s="409" t="s">
        <v>1671</v>
      </c>
      <c r="F52" s="1117" t="s">
        <v>1672</v>
      </c>
      <c r="G52" s="1118" t="str">
        <f>_xlfn.IFERROR(IF(TITLE_PERIOD_START="","01.01."&amp;CURRENT_YEAR,"01.01."&amp;YEAR(TITLE_PERIOD_START)),"01.01."&amp;CURRENT_YEAR)</f>
        <v>01.01.2024</v>
      </c>
      <c r="H52" s="1118" t="str">
        <f>_xlfn.IFERROR(IF(TITLE_PERIOD_END="","31.12."&amp;CURRENT_YEAR,"31.12."&amp;YEAR(TITLE_PERIOD_END)),"31.12."&amp;CURRENT_YEAR)</f>
        <v>31.12.2024</v>
      </c>
      <c r="I52" s="1745">
        <f>IF(OR(TITLE_PERIOD_START="",TITLE_PERIOD_END=""),TRUE,FALSE)</f>
        <v>1</v>
      </c>
      <c r="J52" s="1747" t="str">
        <f>"Показатели, подлежащие раскрытию в сфере "&amp;TEMPLATE_SPHERE_RUS&amp;" (цены и тарифы)"</f>
        <v>Показатели, подлежащие раскрытию в сфере теплоснабжения (цены и тарифы)</v>
      </c>
      <c r="K52" s="1748"/>
      <c r="AX52" s="1122" t="s">
        <v>1673</v>
      </c>
      <c r="AZ52" s="1122" t="s">
        <v>1216</v>
      </c>
      <c r="BE52" s="1122">
        <v>2050</v>
      </c>
      <c r="BH52" s="1070" t="s">
        <v>1648</v>
      </c>
      <c r="BJ52" s="1219" t="s">
        <v>1049</v>
      </c>
      <c r="BL52" s="1219" t="s">
        <v>1049</v>
      </c>
    </row>
    <row customHeight="1" ht="11.25">
      <c r="A53" s="1076" t="s">
        <v>1674</v>
      </c>
      <c r="E53" s="409" t="s">
        <v>1675</v>
      </c>
      <c r="F53" s="1117" t="s">
        <v>1675</v>
      </c>
      <c r="G53" s="1118" t="str">
        <f>_xlfn.IFERROR(IF(f_year="","01.01."&amp;CURRENT_YEAR,"01.01."&amp;f_year),"01.01."&amp;CURRENT_YEAR)</f>
        <v>01.01.2024</v>
      </c>
      <c r="H53" s="1118" t="str">
        <f>_xlfn.IFERROR(IF(f_year="","31.12."&amp;CURRENT_YEAR,"31.12."&amp;f_year),"31.12."&amp;CURRENT_YEAR)</f>
        <v>31.12.2024</v>
      </c>
      <c r="I53" s="1744">
        <f>IF(AND(f_year="",TITLE_DATE_FIL=""),TRUE,FALSE)</f>
        <v>0</v>
      </c>
      <c r="J53" s="1747" t="s">
        <v>1676</v>
      </c>
      <c r="K53" s="1748"/>
      <c r="AX53" s="1122" t="s">
        <v>1677</v>
      </c>
      <c r="BE53" s="1122">
        <v>2051</v>
      </c>
      <c r="BH53" s="1070" t="s">
        <v>1651</v>
      </c>
      <c r="BJ53" s="1219" t="s">
        <v>1624</v>
      </c>
      <c r="BL53" s="1219" t="s">
        <v>1624</v>
      </c>
    </row>
    <row customHeight="1" ht="11.25">
      <c r="A54" s="1076" t="s">
        <v>1678</v>
      </c>
      <c r="AX54" s="1122" t="s">
        <v>1679</v>
      </c>
      <c r="AZ54" s="1069" t="s">
        <v>1680</v>
      </c>
      <c r="BE54" s="1122">
        <v>2052</v>
      </c>
      <c r="BH54" s="1070" t="s">
        <v>1657</v>
      </c>
      <c r="BJ54" s="1219" t="s">
        <v>1628</v>
      </c>
      <c r="BL54" s="1219" t="s">
        <v>1628</v>
      </c>
    </row>
    <row customHeight="1" ht="11.25">
      <c r="A55" s="1076" t="s">
        <v>1681</v>
      </c>
      <c r="AX55" s="1122" t="s">
        <v>1682</v>
      </c>
      <c r="AZ55" s="1122" t="s">
        <v>1218</v>
      </c>
      <c r="BE55" s="1122">
        <v>2053</v>
      </c>
      <c r="BH55" s="1072" t="s">
        <v>22</v>
      </c>
      <c r="BJ55" s="1219" t="s">
        <v>1050</v>
      </c>
      <c r="BL55" s="1219" t="s">
        <v>1050</v>
      </c>
    </row>
    <row customHeight="1" ht="11.25">
      <c r="A56" s="1076" t="s">
        <v>1683</v>
      </c>
      <c r="D56" s="1120" t="s">
        <v>1684</v>
      </c>
      <c r="E56" s="1097" t="s">
        <v>111</v>
      </c>
      <c r="F56" s="1076" t="s">
        <v>1685</v>
      </c>
      <c r="AX56" s="1122" t="s">
        <v>1686</v>
      </c>
      <c r="AZ56" s="1122" t="s">
        <v>1245</v>
      </c>
      <c r="BE56" s="1122">
        <v>2054</v>
      </c>
      <c r="BH56" s="1072" t="s">
        <v>22</v>
      </c>
      <c r="BJ56" s="1219" t="s">
        <v>1635</v>
      </c>
      <c r="BL56" s="1219" t="s">
        <v>1635</v>
      </c>
    </row>
    <row customHeight="1" ht="11.25">
      <c r="A57" s="1076" t="s">
        <v>1687</v>
      </c>
      <c r="D57" s="1120" t="s">
        <v>1688</v>
      </c>
      <c r="E57" s="1097" t="s">
        <v>111</v>
      </c>
      <c r="F57" s="1076" t="s">
        <v>1685</v>
      </c>
      <c r="AX57" s="1122" t="s">
        <v>1689</v>
      </c>
      <c r="AZ57" s="1122" t="s">
        <v>1279</v>
      </c>
      <c r="BE57" s="1122">
        <v>2055</v>
      </c>
      <c r="BJ57" s="1219" t="s">
        <v>1644</v>
      </c>
      <c r="BL57" s="1219" t="s">
        <v>1644</v>
      </c>
    </row>
    <row customHeight="1" ht="11.25">
      <c r="A58" s="1076" t="s">
        <v>1690</v>
      </c>
      <c r="D58" s="1120" t="s">
        <v>1691</v>
      </c>
      <c r="E58" s="1097" t="s">
        <v>111</v>
      </c>
      <c r="F58" s="1076" t="s">
        <v>1685</v>
      </c>
      <c r="AX58" s="1122" t="s">
        <v>1692</v>
      </c>
      <c r="BE58" s="1122">
        <v>2056</v>
      </c>
      <c r="BJ58" s="1219" t="s">
        <v>1648</v>
      </c>
      <c r="BL58" s="1219" t="s">
        <v>1648</v>
      </c>
    </row>
    <row customHeight="1" ht="11.25">
      <c r="A59" s="1076" t="s">
        <v>1693</v>
      </c>
      <c r="D59" s="1120" t="s">
        <v>133</v>
      </c>
      <c r="E59" s="1097" t="s">
        <v>1580</v>
      </c>
      <c r="F59" s="1076" t="s">
        <v>1694</v>
      </c>
      <c r="AX59" s="1122" t="s">
        <v>1695</v>
      </c>
      <c r="AZ59" s="1069" t="s">
        <v>1696</v>
      </c>
      <c r="BE59" s="1122">
        <v>2057</v>
      </c>
      <c r="BJ59" s="1219" t="s">
        <v>1651</v>
      </c>
      <c r="BL59" s="1219" t="s">
        <v>1651</v>
      </c>
    </row>
    <row customHeight="1" ht="11.25">
      <c r="A60" s="1076" t="s">
        <v>1697</v>
      </c>
      <c r="D60" s="1120" t="s">
        <v>1698</v>
      </c>
      <c r="E60" s="1097" t="s">
        <v>1580</v>
      </c>
      <c r="F60" s="1076" t="s">
        <v>1694</v>
      </c>
      <c r="AX60" s="1122" t="s">
        <v>1699</v>
      </c>
      <c r="AZ60" s="1122" t="s">
        <v>1219</v>
      </c>
      <c r="BE60" s="1122">
        <v>2058</v>
      </c>
      <c r="BJ60" s="1219" t="s">
        <v>1657</v>
      </c>
      <c r="BL60" s="1219" t="s">
        <v>1657</v>
      </c>
    </row>
    <row customHeight="1" ht="11.25">
      <c r="A61" s="1076" t="s">
        <v>1700</v>
      </c>
      <c r="D61" s="1120" t="s">
        <v>1701</v>
      </c>
      <c r="E61" s="1097" t="s">
        <v>1580</v>
      </c>
      <c r="F61" s="1076" t="s">
        <v>1694</v>
      </c>
      <c r="AX61" s="1122" t="s">
        <v>1702</v>
      </c>
      <c r="AZ61" s="1122" t="s">
        <v>1246</v>
      </c>
      <c r="BE61" s="1122">
        <v>2059</v>
      </c>
      <c r="BL61" s="1219" t="s">
        <v>1042</v>
      </c>
    </row>
    <row customHeight="1" ht="11.25">
      <c r="A62" s="1076" t="s">
        <v>1703</v>
      </c>
      <c r="D62" s="1120" t="s">
        <v>132</v>
      </c>
      <c r="E62" s="1097">
        <v>30</v>
      </c>
      <c r="F62" s="1076" t="s">
        <v>1694</v>
      </c>
      <c r="AZ62" s="1122" t="s">
        <v>1280</v>
      </c>
      <c r="BE62" s="1122">
        <v>2060</v>
      </c>
      <c r="BL62" s="1219" t="s">
        <v>1044</v>
      </c>
    </row>
    <row customHeight="1" ht="11.25">
      <c r="A63" s="1076" t="s">
        <v>1704</v>
      </c>
      <c r="D63" s="1120" t="s">
        <v>1705</v>
      </c>
      <c r="E63" s="1097">
        <v>30</v>
      </c>
      <c r="F63" s="1076" t="s">
        <v>1694</v>
      </c>
      <c r="AZ63" s="1122" t="s">
        <v>1312</v>
      </c>
      <c r="BE63" s="1122">
        <v>2061</v>
      </c>
    </row>
    <row customHeight="1" ht="11.25">
      <c r="A64" s="1076" t="s">
        <v>1706</v>
      </c>
      <c r="D64" s="1120" t="s">
        <v>1707</v>
      </c>
      <c r="E64" s="1097">
        <v>30</v>
      </c>
      <c r="F64" s="1076" t="s">
        <v>1694</v>
      </c>
      <c r="AZ64" s="1122" t="s">
        <v>1335</v>
      </c>
      <c r="BE64" s="1122">
        <v>2062</v>
      </c>
    </row>
    <row customHeight="1" ht="11.25">
      <c r="A65" s="1076" t="s">
        <v>1708</v>
      </c>
      <c r="D65" s="1076"/>
      <c r="BE65" s="1122">
        <v>2063</v>
      </c>
    </row>
    <row customHeight="1" ht="11.25">
      <c r="A66" s="1076" t="s">
        <v>1709</v>
      </c>
      <c r="AZ66" s="1069" t="s">
        <v>1710</v>
      </c>
      <c r="BE66" s="1122">
        <v>2064</v>
      </c>
    </row>
    <row customHeight="1" ht="11.25">
      <c r="A67" s="1076" t="s">
        <v>1711</v>
      </c>
      <c r="AZ67" s="1122" t="s">
        <v>1220</v>
      </c>
      <c r="BE67" s="1122">
        <v>2065</v>
      </c>
    </row>
    <row customHeight="1" ht="11.25">
      <c r="A68" s="1076" t="s">
        <v>1712</v>
      </c>
      <c r="AZ68" s="1122" t="s">
        <v>1247</v>
      </c>
      <c r="BE68" s="1122">
        <v>2066</v>
      </c>
      <c r="BH68" s="1069" t="s">
        <v>1713</v>
      </c>
      <c r="BJ68" s="1069" t="s">
        <v>1714</v>
      </c>
      <c r="BL68" s="1069" t="s">
        <v>1715</v>
      </c>
      <c r="BN68" s="1069" t="s">
        <v>1716</v>
      </c>
    </row>
    <row customHeight="1" ht="11.25">
      <c r="A69" s="1076" t="s">
        <v>1717</v>
      </c>
      <c r="AZ69" s="1122" t="s">
        <v>1281</v>
      </c>
      <c r="BE69" s="1122">
        <v>2067</v>
      </c>
      <c r="BH69" s="1070" t="s">
        <v>1718</v>
      </c>
      <c r="BI69" s="1119" t="s">
        <v>109</v>
      </c>
      <c r="BJ69" s="1070" t="s">
        <v>1719</v>
      </c>
      <c r="BK69" s="1119" t="s">
        <v>109</v>
      </c>
      <c r="BL69" s="1070" t="s">
        <v>1720</v>
      </c>
      <c r="BM69" s="1072" t="s">
        <v>109</v>
      </c>
      <c r="BN69" s="1070" t="s">
        <v>1721</v>
      </c>
    </row>
    <row customHeight="1" ht="11.25">
      <c r="A70" s="1076" t="s">
        <v>1722</v>
      </c>
      <c r="AZ70" s="1122" t="s">
        <v>1313</v>
      </c>
      <c r="BE70" s="1122">
        <v>2068</v>
      </c>
      <c r="BH70" s="1070" t="s">
        <v>1723</v>
      </c>
      <c r="BJ70" s="1070" t="s">
        <v>1724</v>
      </c>
      <c r="BL70" s="1070" t="s">
        <v>1725</v>
      </c>
      <c r="BN70" s="1070" t="s">
        <v>1726</v>
      </c>
    </row>
    <row customHeight="1" ht="11.25">
      <c r="A71" s="1076" t="s">
        <v>1727</v>
      </c>
      <c r="AZ71" s="1122" t="s">
        <v>1315</v>
      </c>
      <c r="BE71" s="1122">
        <v>2069</v>
      </c>
      <c r="BH71" s="1070" t="s">
        <v>1728</v>
      </c>
      <c r="BI71" s="1119" t="s">
        <v>90</v>
      </c>
      <c r="BJ71" s="1070" t="s">
        <v>1729</v>
      </c>
      <c r="BK71" s="1119" t="s">
        <v>90</v>
      </c>
      <c r="BL71" s="1070" t="s">
        <v>1730</v>
      </c>
      <c r="BM71" s="1072" t="s">
        <v>90</v>
      </c>
      <c r="BN71" s="1070" t="s">
        <v>1731</v>
      </c>
    </row>
    <row customHeight="1" ht="11.25">
      <c r="A72" s="1076" t="s">
        <v>1732</v>
      </c>
      <c r="AZ72" s="1122" t="s">
        <v>19</v>
      </c>
      <c r="BE72" s="1122">
        <v>2070</v>
      </c>
      <c r="BH72" s="1070" t="s">
        <v>1733</v>
      </c>
      <c r="BJ72" s="1070" t="s">
        <v>1733</v>
      </c>
      <c r="BL72" s="1070" t="s">
        <v>1733</v>
      </c>
      <c r="BN72" s="1070" t="s">
        <v>1734</v>
      </c>
    </row>
    <row customHeight="1" ht="11.25">
      <c r="A73" s="1076" t="s">
        <v>1735</v>
      </c>
      <c r="BH73" s="1070" t="s">
        <v>1736</v>
      </c>
      <c r="BI73" s="1119" t="s">
        <v>111</v>
      </c>
      <c r="BJ73" s="1070" t="s">
        <v>1737</v>
      </c>
      <c r="BK73" s="1119" t="s">
        <v>111</v>
      </c>
      <c r="BL73" s="1070" t="s">
        <v>1738</v>
      </c>
      <c r="BM73" s="1072" t="s">
        <v>111</v>
      </c>
      <c r="BN73" s="1070" t="s">
        <v>1739</v>
      </c>
    </row>
    <row customHeight="1" ht="11.25">
      <c r="A74" s="1076" t="s">
        <v>1740</v>
      </c>
      <c r="BH74" s="1070" t="s">
        <v>1741</v>
      </c>
      <c r="BJ74" s="1070" t="s">
        <v>1742</v>
      </c>
      <c r="BL74" s="1070" t="s">
        <v>1743</v>
      </c>
      <c r="BN74" s="1070" t="s">
        <v>1744</v>
      </c>
    </row>
    <row customHeight="1" ht="11.25">
      <c r="A75" s="1076" t="s">
        <v>1745</v>
      </c>
      <c r="AZ75" s="1069" t="s">
        <v>1746</v>
      </c>
      <c r="BH75" s="1070" t="s">
        <v>1747</v>
      </c>
      <c r="BJ75" s="1070" t="s">
        <v>1747</v>
      </c>
      <c r="BL75" s="1070" t="s">
        <v>1747</v>
      </c>
    </row>
    <row customHeight="1" ht="11.25">
      <c r="A76" s="1076" t="s">
        <v>1748</v>
      </c>
      <c r="AZ76" s="1122" t="s">
        <v>1229</v>
      </c>
      <c r="BH76" s="1070" t="s">
        <v>1749</v>
      </c>
      <c r="BJ76" s="1070" t="s">
        <v>1750</v>
      </c>
      <c r="BL76" s="1070" t="s">
        <v>1751</v>
      </c>
    </row>
    <row customHeight="1" ht="11.25">
      <c r="A77" s="1076" t="s">
        <v>1752</v>
      </c>
      <c r="AZ77" s="1122" t="s">
        <v>1257</v>
      </c>
    </row>
    <row customHeight="1" ht="11.25">
      <c r="A78" s="1076" t="s">
        <v>1753</v>
      </c>
      <c r="AZ78" s="1122" t="s">
        <v>1288</v>
      </c>
    </row>
    <row customHeight="1" ht="11.25">
      <c r="A79" s="1076" t="s">
        <v>1754</v>
      </c>
      <c r="AZ79" s="1122" t="s">
        <v>1319</v>
      </c>
      <c r="BH79" s="1069" t="s">
        <v>1755</v>
      </c>
      <c r="BJ79" s="1069" t="s">
        <v>1756</v>
      </c>
      <c r="BL79" s="1069" t="s">
        <v>1757</v>
      </c>
    </row>
    <row customHeight="1" ht="11.25">
      <c r="A80" s="1076" t="s">
        <v>1758</v>
      </c>
      <c r="AZ80" s="1122" t="s">
        <v>1340</v>
      </c>
      <c r="BH80" s="1070" t="s">
        <v>1759</v>
      </c>
      <c r="BJ80" s="1070" t="s">
        <v>1760</v>
      </c>
      <c r="BL80" s="1070" t="s">
        <v>1761</v>
      </c>
    </row>
    <row customHeight="1" ht="11.25">
      <c r="A81" s="1076" t="s">
        <v>1762</v>
      </c>
      <c r="AZ81" s="1122" t="s">
        <v>1357</v>
      </c>
      <c r="BH81" s="1070" t="s">
        <v>1763</v>
      </c>
      <c r="BJ81" s="1070" t="s">
        <v>1764</v>
      </c>
      <c r="BL81" s="1070" t="s">
        <v>1765</v>
      </c>
    </row>
    <row customHeight="1" ht="11.25">
      <c r="A82" s="1076" t="s">
        <v>1766</v>
      </c>
      <c r="AZ82" s="1122" t="s">
        <v>1372</v>
      </c>
      <c r="BH82" s="1070" t="s">
        <v>1767</v>
      </c>
      <c r="BJ82" s="1070" t="s">
        <v>1768</v>
      </c>
      <c r="BL82" s="1070" t="s">
        <v>1769</v>
      </c>
    </row>
    <row customHeight="1" ht="11.25">
      <c r="A83" s="1076" t="s">
        <v>1770</v>
      </c>
      <c r="BH83" s="1070" t="s">
        <v>1771</v>
      </c>
      <c r="BJ83" s="1070" t="s">
        <v>1772</v>
      </c>
      <c r="BL83" s="1070" t="s">
        <v>1773</v>
      </c>
    </row>
    <row customHeight="1" ht="11.25">
      <c r="A84" s="1076" t="s">
        <v>1774</v>
      </c>
      <c r="AZ84" s="1069" t="s">
        <v>1775</v>
      </c>
    </row>
    <row customHeight="1" ht="11.25">
      <c r="A85" s="1872" t="s">
        <v>1776</v>
      </c>
      <c r="AZ85" s="1122" t="s">
        <v>1777</v>
      </c>
    </row>
    <row customHeight="1" ht="11.25">
      <c r="A86" s="1076" t="s">
        <v>1778</v>
      </c>
      <c r="AZ86" s="1122" t="s">
        <v>1779</v>
      </c>
      <c r="BH86" s="1069" t="s">
        <v>1780</v>
      </c>
      <c r="BJ86" s="1069" t="s">
        <v>1781</v>
      </c>
      <c r="BL86" s="1069" t="s">
        <v>1782</v>
      </c>
    </row>
    <row customHeight="1" ht="11.25">
      <c r="A87" s="1076" t="s">
        <v>1783</v>
      </c>
      <c r="AZ87" s="1122" t="s">
        <v>1784</v>
      </c>
      <c r="BH87" s="1070" t="s">
        <v>1785</v>
      </c>
      <c r="BJ87" s="1070" t="s">
        <v>1786</v>
      </c>
      <c r="BL87" s="1070" t="s">
        <v>1787</v>
      </c>
    </row>
    <row customHeight="1" ht="11.25">
      <c r="A88" s="1076" t="s">
        <v>1788</v>
      </c>
      <c r="AZ88" s="1608"/>
      <c r="BH88" s="1070" t="s">
        <v>1789</v>
      </c>
      <c r="BJ88" s="1070" t="s">
        <v>1790</v>
      </c>
      <c r="BL88" s="1070" t="s">
        <v>1791</v>
      </c>
    </row>
    <row customHeight="1" ht="11.25">
      <c r="A89" s="1076" t="s">
        <v>1792</v>
      </c>
      <c r="AZ89" s="1069" t="s">
        <v>1793</v>
      </c>
    </row>
    <row customHeight="1" ht="11.25">
      <c r="A90" s="1076" t="s">
        <v>1794</v>
      </c>
      <c r="AZ90" s="1122" t="s">
        <v>1020</v>
      </c>
    </row>
    <row customHeight="1" ht="11.25">
      <c r="A91" s="1076" t="s">
        <v>1795</v>
      </c>
      <c r="AZ91" s="1122" t="s">
        <v>1056</v>
      </c>
      <c r="BH91" s="1069" t="s">
        <v>1796</v>
      </c>
      <c r="BJ91" s="1069" t="s">
        <v>1797</v>
      </c>
      <c r="BL91" s="1069" t="s">
        <v>1798</v>
      </c>
    </row>
    <row customHeight="1" ht="11.25">
      <c r="AZ92" s="1122" t="s">
        <v>1799</v>
      </c>
      <c r="BH92" s="1070" t="s">
        <v>1800</v>
      </c>
      <c r="BJ92" s="1070" t="s">
        <v>1801</v>
      </c>
      <c r="BL92" s="1070" t="s">
        <v>1802</v>
      </c>
    </row>
    <row customHeight="1" ht="11.25">
      <c r="AZ93" s="1122" t="s">
        <v>1803</v>
      </c>
      <c r="BH93" s="1070" t="s">
        <v>1804</v>
      </c>
      <c r="BJ93" s="1070" t="s">
        <v>1805</v>
      </c>
      <c r="BL93" s="1070" t="s">
        <v>1806</v>
      </c>
    </row>
    <row customHeight="1" ht="11.25">
      <c r="AZ94" s="1122" t="s">
        <v>1807</v>
      </c>
    </row>
    <row r="96" customHeight="1" ht="11.25">
      <c r="AZ96" s="1069" t="s">
        <v>1808</v>
      </c>
      <c r="BH96" s="1069" t="s">
        <v>1809</v>
      </c>
      <c r="BJ96" s="1069" t="s">
        <v>1810</v>
      </c>
      <c r="BL96" s="1069" t="s">
        <v>1811</v>
      </c>
      <c r="BN96" s="1069" t="s">
        <v>1812</v>
      </c>
    </row>
    <row customHeight="1" ht="11.25">
      <c r="AZ97" s="1903" t="s">
        <v>1813</v>
      </c>
      <c r="BA97" s="1904" t="s">
        <v>1814</v>
      </c>
      <c r="BH97" s="1070" t="s">
        <v>1815</v>
      </c>
      <c r="BJ97" s="1070" t="s">
        <v>1816</v>
      </c>
      <c r="BL97" s="1070" t="s">
        <v>1817</v>
      </c>
      <c r="BN97" s="1070" t="s">
        <v>1818</v>
      </c>
    </row>
    <row customHeight="1" ht="11.25">
      <c r="AZ98" s="1903" t="s">
        <v>1819</v>
      </c>
      <c r="BA98" s="1904" t="s">
        <v>1820</v>
      </c>
      <c r="BH98" s="1070" t="s">
        <v>1821</v>
      </c>
      <c r="BJ98" s="1070" t="s">
        <v>1822</v>
      </c>
      <c r="BL98" s="1070" t="s">
        <v>1823</v>
      </c>
      <c r="BN98" s="1070" t="s">
        <v>1824</v>
      </c>
    </row>
    <row customHeight="1" ht="22.5">
      <c r="AZ99" s="1903" t="s">
        <v>1825</v>
      </c>
      <c r="BA99" s="1904"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0" t="s">
        <v>1826</v>
      </c>
      <c r="BJ99" s="1070" t="s">
        <v>1827</v>
      </c>
      <c r="BL99" s="1070" t="s">
        <v>1828</v>
      </c>
      <c r="BN99" s="1070" t="s">
        <v>1829</v>
      </c>
    </row>
    <row customHeight="1" ht="22.5">
      <c r="AZ100" s="1903" t="s">
        <v>1830</v>
      </c>
      <c r="BA100"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0" t="s">
        <v>1417</v>
      </c>
      <c r="BL100" s="1070" t="s">
        <v>1417</v>
      </c>
      <c r="BN100" s="1070" t="s">
        <v>1831</v>
      </c>
    </row>
    <row customHeight="1" ht="22.5">
      <c r="AZ101" s="1903" t="s">
        <v>1832</v>
      </c>
      <c r="BA101" s="1904" t="s">
        <v>1833</v>
      </c>
      <c r="BN101" s="1070" t="s">
        <v>1834</v>
      </c>
    </row>
    <row customHeight="1" ht="22.5">
      <c r="AZ102" s="1903" t="s">
        <v>1835</v>
      </c>
      <c r="BA102"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0" t="s">
        <v>1836</v>
      </c>
    </row>
    <row customHeight="1" ht="11.25">
      <c r="AZ103" s="1903" t="s">
        <v>1837</v>
      </c>
      <c r="BA103" s="1904" t="s">
        <v>1838</v>
      </c>
      <c r="BN103" s="1070" t="s">
        <v>1839</v>
      </c>
    </row>
    <row customHeight="1" ht="11.25">
      <c r="BN104" s="1070" t="s">
        <v>1840</v>
      </c>
    </row>
    <row customHeight="1" ht="11.25">
      <c r="AZ105" s="1694" t="s">
        <v>1841</v>
      </c>
    </row>
    <row customHeight="1" ht="11.25">
      <c r="AZ106" s="1122" t="s">
        <v>1842</v>
      </c>
    </row>
    <row customHeight="1" ht="11.25">
      <c r="AZ107" s="1122" t="s">
        <v>1843</v>
      </c>
      <c r="BH107" s="1069" t="s">
        <v>1844</v>
      </c>
      <c r="BJ107" s="1069" t="s">
        <v>1845</v>
      </c>
      <c r="BL107" s="1069" t="s">
        <v>1846</v>
      </c>
      <c r="BN107" s="1069" t="s">
        <v>1847</v>
      </c>
    </row>
    <row customHeight="1" ht="11.25">
      <c r="AZ108" s="1122" t="s">
        <v>571</v>
      </c>
      <c r="BH108" s="1070" t="s">
        <v>1848</v>
      </c>
      <c r="BJ108" s="1070" t="s">
        <v>1849</v>
      </c>
      <c r="BL108" s="1070" t="s">
        <v>1503</v>
      </c>
      <c r="BN108" s="1070" t="s">
        <v>1850</v>
      </c>
    </row>
    <row customHeight="1" ht="11.25">
      <c r="BH109" s="1070" t="s">
        <v>1851</v>
      </c>
    </row>
    <row customHeight="1" ht="11.25">
      <c r="AZ110" s="1694" t="s">
        <v>1852</v>
      </c>
      <c r="BH110" s="1070" t="s">
        <v>1851</v>
      </c>
    </row>
    <row customHeight="1" ht="11.25">
      <c r="AZ111" s="1903" t="s">
        <v>1813</v>
      </c>
      <c r="BA111" s="1904" t="s">
        <v>1814</v>
      </c>
    </row>
    <row customHeight="1" ht="11.25">
      <c r="AZ112" s="1903" t="s">
        <v>1819</v>
      </c>
      <c r="BA112" s="1904" t="s">
        <v>1820</v>
      </c>
    </row>
    <row customHeight="1" ht="22.5">
      <c r="AZ113" s="1903" t="s">
        <v>1825</v>
      </c>
      <c r="BA113" s="1904"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3" t="s">
        <v>1830</v>
      </c>
      <c r="BA114"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9" t="s">
        <v>1853</v>
      </c>
    </row>
    <row customHeight="1" ht="22.5">
      <c r="AZ115" s="1903" t="s">
        <v>1835</v>
      </c>
      <c r="BA115"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0" t="s">
        <v>1216</v>
      </c>
    </row>
    <row customHeight="1" ht="11.25">
      <c r="AZ116" s="1903" t="s">
        <v>1837</v>
      </c>
      <c r="BA116" s="1904" t="s">
        <v>1838</v>
      </c>
      <c r="BH116" s="1070" t="s">
        <v>1243</v>
      </c>
    </row>
    <row customHeight="1" ht="11.25">
      <c r="BH117" s="1070" t="s">
        <v>1277</v>
      </c>
    </row>
    <row customHeight="1" ht="11.25">
      <c r="BH118" s="1070" t="s">
        <v>1310</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9F757F-4C1A-7584-BF99-2E87CBD048FE}"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93.00390625" customWidth="1"/>
    <col min="8" max="8" style="457" width="8.00390625" customWidth="1"/>
    <col min="9" max="9" style="457" width="64.00390625" customWidth="1"/>
    <col min="10" max="10" style="457" width="9.140625" hidden="1"/>
  </cols>
  <sheetData>
    <row customHeight="1" ht="11.25" hidden="1">
      <c r="A1" s="503" t="s">
        <v>299</v>
      </c>
      <c r="J1" s="457" t="s">
        <v>14</v>
      </c>
    </row>
    <row customHeight="1" ht="22.5" hidden="1">
      <c r="A2" s="504"/>
      <c r="B2" s="504"/>
      <c r="C2" s="1732" t="s">
        <v>689</v>
      </c>
      <c r="D2" s="1522"/>
      <c r="E2" s="1528"/>
      <c r="F2" s="1551"/>
      <c r="H2" s="477"/>
      <c r="J2" s="457">
        <v>0</v>
      </c>
    </row>
    <row customHeight="1" ht="11.25" hidden="1">
      <c r="J3" s="457">
        <v>0</v>
      </c>
    </row>
    <row customHeight="1" ht="11.549999999999999">
      <c r="A4" s="1552"/>
      <c r="B4" s="1552"/>
      <c r="J4" s="457">
        <v>11</v>
      </c>
    </row>
    <row customHeight="1" ht="27.299999999999997">
      <c r="D5" s="224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1"/>
      <c r="F5" s="2242"/>
      <c r="I5" s="717"/>
      <c r="J5" s="457">
        <v>26</v>
      </c>
    </row>
    <row customHeight="1" ht="18">
      <c r="D6" s="2178" t="str">
        <f>IF(region_name=0,"Не определено",region_name)</f>
        <v>Вологодская область</v>
      </c>
      <c r="E6" s="2178"/>
      <c r="F6" s="2178"/>
      <c r="I6" s="717"/>
      <c r="J6" s="457">
        <v>17</v>
      </c>
    </row>
    <row s="479" customFormat="1" customHeight="1" ht="11.549999999999999">
      <c r="A7" s="503"/>
      <c r="B7" s="503"/>
      <c r="D7" s="716"/>
      <c r="E7" s="716"/>
      <c r="F7" s="754"/>
      <c r="G7" s="716"/>
      <c r="J7" s="479">
        <v>11</v>
      </c>
    </row>
    <row customHeight="1" ht="11.25" hidden="1">
      <c r="A8" s="504"/>
      <c r="B8" s="504"/>
      <c r="C8" s="459"/>
      <c r="D8" s="465"/>
      <c r="E8" s="2209"/>
      <c r="F8" s="2209"/>
      <c r="J8" s="457">
        <v>0</v>
      </c>
    </row>
    <row customHeight="1" ht="11.549999999999999">
      <c r="A9" s="504"/>
      <c r="B9" s="504"/>
      <c r="C9" s="459"/>
      <c r="D9" s="2206" t="s">
        <v>300</v>
      </c>
      <c r="E9" s="2207"/>
      <c r="F9" s="2207"/>
      <c r="G9" s="2210" t="s">
        <v>301</v>
      </c>
      <c r="J9" s="457">
        <v>11</v>
      </c>
    </row>
    <row customHeight="1" ht="11.549999999999999">
      <c r="A10" s="504"/>
      <c r="B10" s="504"/>
      <c r="C10" s="459"/>
      <c r="D10" s="1476" t="s">
        <v>88</v>
      </c>
      <c r="E10" s="1478" t="s">
        <v>302</v>
      </c>
      <c r="F10" s="1478" t="s">
        <v>303</v>
      </c>
      <c r="G10" s="2211"/>
      <c r="J10" s="457">
        <v>11</v>
      </c>
    </row>
    <row customHeight="1" ht="1.05">
      <c r="A11" s="504"/>
      <c r="B11" s="504"/>
      <c r="C11" s="459"/>
      <c r="D11" s="466"/>
      <c r="E11" s="466"/>
      <c r="F11" s="466"/>
      <c r="G11" s="466"/>
      <c r="J11" s="457">
        <v>1</v>
      </c>
    </row>
    <row customHeight="1" ht="24">
      <c r="A12" s="504"/>
      <c r="B12" s="504"/>
      <c r="C12" s="459"/>
      <c r="D12" s="1522">
        <v>1</v>
      </c>
      <c r="E12" s="47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0" t="str">
        <f>IF(org="","",org)</f>
        <v>ПАО "ТГК-2"</v>
      </c>
      <c r="G12" s="47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5"/>
      <c r="J12" s="457">
        <v>23</v>
      </c>
    </row>
    <row customHeight="1" ht="19.95">
      <c r="A13" s="504"/>
      <c r="B13" s="504"/>
      <c r="C13" s="459"/>
      <c r="D13" s="1522">
        <v>2</v>
      </c>
      <c r="E13" s="1529" t="s">
        <v>1854</v>
      </c>
      <c r="F13" s="1523" t="s">
        <v>306</v>
      </c>
      <c r="G13" s="476"/>
      <c r="H13" s="1535"/>
      <c r="J13" s="457">
        <v>19</v>
      </c>
    </row>
    <row customHeight="1" ht="19.95">
      <c r="A14" s="504"/>
      <c r="B14" s="504"/>
      <c r="C14" s="459"/>
      <c r="D14" s="1525" t="s">
        <v>709</v>
      </c>
      <c r="E14" s="1526" t="s">
        <v>1855</v>
      </c>
      <c r="F14" s="1528"/>
      <c r="G14" s="1527" t="s">
        <v>1856</v>
      </c>
      <c r="H14" s="1535"/>
      <c r="J14" s="457">
        <v>19</v>
      </c>
    </row>
    <row customHeight="1" ht="19.95">
      <c r="A15" s="504"/>
      <c r="B15" s="504"/>
      <c r="C15" s="459"/>
      <c r="D15" s="1525" t="s">
        <v>307</v>
      </c>
      <c r="E15" s="1526" t="s">
        <v>1857</v>
      </c>
      <c r="F15" s="1528"/>
      <c r="G15" s="1527" t="s">
        <v>1858</v>
      </c>
      <c r="H15" s="1535"/>
      <c r="J15" s="457">
        <v>19</v>
      </c>
    </row>
    <row customHeight="1" ht="24">
      <c r="A16" s="504"/>
      <c r="B16" s="504"/>
      <c r="C16" s="459"/>
      <c r="D16" s="1525" t="s">
        <v>310</v>
      </c>
      <c r="E16" s="1524" t="s">
        <v>1859</v>
      </c>
      <c r="F16" s="1533"/>
      <c r="G16" s="476" t="s">
        <v>1860</v>
      </c>
      <c r="H16" s="1535"/>
      <c r="J16" s="457">
        <v>23</v>
      </c>
    </row>
    <row customHeight="1" ht="48.29999999999999">
      <c r="A17" s="504"/>
      <c r="B17" s="504"/>
      <c r="C17" s="459"/>
      <c r="D17" s="1522">
        <v>3</v>
      </c>
      <c r="E17" s="1529" t="s">
        <v>1861</v>
      </c>
      <c r="F17" s="1528"/>
      <c r="G17" s="476" t="s">
        <v>1862</v>
      </c>
      <c r="H17" s="1535"/>
      <c r="J17" s="457">
        <v>46</v>
      </c>
    </row>
    <row customHeight="1" ht="48.29999999999999">
      <c r="A18" s="1477">
        <v>1</v>
      </c>
      <c r="B18" s="504"/>
      <c r="C18" s="1479"/>
      <c r="D18" s="1522" t="s">
        <v>91</v>
      </c>
      <c r="E18" s="1529" t="s">
        <v>1863</v>
      </c>
      <c r="F18" s="1528"/>
      <c r="G18" s="476" t="s">
        <v>1862</v>
      </c>
      <c r="H18" s="1535"/>
      <c r="I18" s="854"/>
      <c r="J18" s="457">
        <v>46</v>
      </c>
    </row>
    <row customHeight="1" ht="23.25">
      <c r="A19" s="504"/>
      <c r="B19" s="504"/>
      <c r="C19" s="459"/>
      <c r="D19" s="1522" t="s">
        <v>111</v>
      </c>
      <c r="E19" s="1529" t="s">
        <v>1864</v>
      </c>
      <c r="F19" s="1523" t="s">
        <v>306</v>
      </c>
      <c r="G19" s="2473" t="s">
        <v>1865</v>
      </c>
      <c r="H19" s="477"/>
      <c r="J19" s="457">
        <v>22</v>
      </c>
    </row>
    <row s="1532" customFormat="1" customHeight="1" ht="5.25" hidden="1">
      <c r="A20" s="504"/>
      <c r="B20" s="504"/>
      <c r="C20" s="1531"/>
      <c r="D20" s="1530" t="s">
        <v>1117</v>
      </c>
      <c r="E20" s="1016"/>
      <c r="F20" s="1015"/>
      <c r="G20" s="2474"/>
      <c r="J20" s="1532">
        <v>0</v>
      </c>
    </row>
    <row customHeight="1" ht="15.75">
      <c r="A21" s="504"/>
      <c r="B21" s="504"/>
      <c r="C21" s="459"/>
      <c r="D21" s="469"/>
      <c r="E21" s="417" t="s">
        <v>339</v>
      </c>
      <c r="F21" s="471"/>
      <c r="G21" s="2475"/>
      <c r="H21" s="1535"/>
      <c r="J21" s="457">
        <v>15</v>
      </c>
    </row>
    <row s="503" customFormat="1" customHeight="1" ht="26.25">
      <c r="A22" s="504"/>
      <c r="B22" s="504"/>
      <c r="C22" s="504"/>
      <c r="D22" s="1522" t="s">
        <v>92</v>
      </c>
      <c r="E22" s="476" t="s">
        <v>1866</v>
      </c>
      <c r="F22" s="1528"/>
      <c r="G22" s="476" t="s">
        <v>1867</v>
      </c>
      <c r="H22" s="1534"/>
      <c r="J22" s="503">
        <v>25</v>
      </c>
    </row>
    <row s="503" customFormat="1" customHeight="1" ht="19.95">
      <c r="A23" s="504"/>
      <c r="B23" s="504"/>
      <c r="C23" s="504"/>
      <c r="D23" s="1522" t="s">
        <v>93</v>
      </c>
      <c r="E23" s="1529" t="s">
        <v>1868</v>
      </c>
      <c r="F23" s="1533"/>
      <c r="G23" s="476" t="s">
        <v>1869</v>
      </c>
      <c r="H23" s="1534"/>
      <c r="J23" s="503">
        <v>19</v>
      </c>
    </row>
    <row s="503" customFormat="1" customHeight="1" ht="144" hidden="1">
      <c r="A24" s="504"/>
      <c r="B24" s="504"/>
      <c r="C24" s="504"/>
      <c r="D24" s="1522" t="s">
        <v>112</v>
      </c>
      <c r="E24" s="1899"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0"/>
      <c r="G24" s="1898"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4"/>
      <c r="J24" s="503">
        <v>0</v>
      </c>
    </row>
    <row customHeight="1" ht="11.25" hidden="1">
      <c r="A25" s="503" t="s">
        <v>82</v>
      </c>
      <c r="B25" s="503">
        <v>0</v>
      </c>
      <c r="C25" s="457">
        <v>3</v>
      </c>
      <c r="D25" s="458">
        <v>6</v>
      </c>
      <c r="E25" s="457">
        <v>52</v>
      </c>
      <c r="F25" s="457">
        <v>48</v>
      </c>
      <c r="G25" s="457">
        <v>93</v>
      </c>
      <c r="H25" s="457">
        <v>8</v>
      </c>
      <c r="I25" s="457">
        <v>64</v>
      </c>
      <c r="J25" s="457">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B1ED07-FC89-7D05-5901-7EAB82E4D834}"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46.00390625" customWidth="1"/>
    <col min="7" max="8" style="1637" width="16.00390625" customWidth="1"/>
    <col min="9" max="9" style="1637" width="35.00390625" customWidth="1"/>
    <col min="10" max="10" style="1637" width="89.00390625" customWidth="1"/>
    <col min="11" max="11" style="1626" width="3.00390625" customWidth="1"/>
    <col min="12" max="14" style="1626" width="8.00390625" customWidth="1"/>
    <col min="15" max="15" style="1626" width="25.00390625" customWidth="1"/>
    <col min="16" max="16" style="1626" width="14.00390625" customWidth="1"/>
    <col min="17" max="20" style="227" width="8.00390625" customWidth="1"/>
    <col min="21" max="254" style="1637" width="8.00390625" customWidth="1"/>
    <col min="255" max="255" style="1637" width="9.140625" hidden="1"/>
  </cols>
  <sheetData>
    <row customHeight="1" ht="22.5" hidden="1">
      <c r="F1" s="1633" t="s">
        <v>1870</v>
      </c>
      <c r="G1" s="1633" t="s">
        <v>48</v>
      </c>
      <c r="H1" s="1633" t="s">
        <v>50</v>
      </c>
      <c r="IU1" s="1157" t="s">
        <v>14</v>
      </c>
    </row>
    <row s="1852" customFormat="1" customHeight="1" ht="22.5" hidden="1">
      <c r="A2" s="833"/>
      <c r="B2" s="1162">
        <v>1</v>
      </c>
      <c r="C2" s="1162"/>
      <c r="D2" s="1930" t="s">
        <v>689</v>
      </c>
      <c r="E2" s="1486"/>
      <c r="F2" s="1493"/>
      <c r="G2" s="1493"/>
      <c r="H2" s="1493"/>
      <c r="I2" s="1986"/>
      <c r="J2" s="1987"/>
      <c r="K2" s="1537"/>
      <c r="L2" s="513"/>
      <c r="M2" s="513"/>
      <c r="N2" s="502" t="str">
        <f t="array" ref="N2:N2">IF(ISERROR(MATCH(MID(O2,1,250),MID(note_ter,1,250),0)),"n","y")</f>
        <v>n</v>
      </c>
      <c r="O2" s="513"/>
      <c r="P2" s="502" t="str">
        <f>G2&amp;"("&amp;J2&amp;")"</f>
        <v>()</v>
      </c>
      <c r="Q2" s="1162"/>
      <c r="R2" s="1162"/>
      <c r="S2" s="422"/>
      <c r="T2" s="1162"/>
      <c r="U2" s="1162"/>
      <c r="V2" s="1162"/>
      <c r="W2" s="424"/>
      <c r="X2" s="424"/>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4"/>
      <c r="BU2" s="424"/>
      <c r="BV2" s="424"/>
      <c r="BW2" s="424"/>
      <c r="BX2" s="424"/>
      <c r="BY2" s="424"/>
      <c r="BZ2" s="424"/>
      <c r="CA2" s="424"/>
      <c r="CB2" s="424"/>
      <c r="CC2" s="424"/>
      <c r="IU2" s="425">
        <v>0</v>
      </c>
    </row>
    <row s="1644" customFormat="1" customHeight="1" ht="4.2">
      <c r="A3" s="498"/>
      <c r="D3" s="496"/>
      <c r="F3" s="249" t="s">
        <v>83</v>
      </c>
      <c r="G3" s="496" t="s">
        <v>84</v>
      </c>
      <c r="H3" s="496"/>
      <c r="I3" s="496"/>
      <c r="J3" s="229" t="s">
        <v>85</v>
      </c>
      <c r="K3" s="249" t="s">
        <v>83</v>
      </c>
      <c r="L3" s="249"/>
      <c r="M3" s="249"/>
      <c r="N3" s="249"/>
      <c r="O3" s="250"/>
      <c r="P3" s="249"/>
      <c r="Q3" s="249"/>
      <c r="R3" s="249"/>
      <c r="S3" s="249"/>
      <c r="T3" s="24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513">
        <v>4</v>
      </c>
    </row>
    <row s="1821" customFormat="1" customHeight="1" ht="14.699999999999998">
      <c r="A4" s="1157"/>
      <c r="B4" s="1162"/>
      <c r="C4" s="1157"/>
      <c r="D4" s="1497"/>
      <c r="E4" s="511"/>
      <c r="F4" s="1644"/>
      <c r="G4" s="511"/>
      <c r="H4" s="511"/>
      <c r="I4" s="511"/>
      <c r="J4" s="168"/>
      <c r="K4" s="249"/>
      <c r="L4" s="502"/>
      <c r="M4" s="502"/>
      <c r="N4" s="502"/>
      <c r="O4" s="228"/>
      <c r="P4" s="502"/>
      <c r="Q4" s="227"/>
      <c r="R4" s="227"/>
      <c r="S4" s="227"/>
      <c r="T4" s="227"/>
      <c r="IU4" s="509">
        <v>14</v>
      </c>
    </row>
    <row s="1821" customFormat="1" customHeight="1" ht="27.299999999999997">
      <c r="A5" s="1157"/>
      <c r="B5" s="1162"/>
      <c r="C5" s="1157"/>
      <c r="D5" s="1497"/>
      <c r="E5" s="210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2"/>
      <c r="G5" s="2102"/>
      <c r="H5" s="2102"/>
      <c r="I5" s="2102"/>
      <c r="J5" s="2102"/>
      <c r="K5" s="249"/>
      <c r="L5" s="502"/>
      <c r="M5" s="502"/>
      <c r="N5" s="502"/>
      <c r="O5" s="228"/>
      <c r="P5" s="502"/>
      <c r="Q5" s="227"/>
      <c r="R5" s="227"/>
      <c r="S5" s="227"/>
      <c r="T5" s="227"/>
      <c r="IU5" s="509">
        <v>26</v>
      </c>
    </row>
    <row s="1821" customFormat="1" customHeight="1" ht="14.699999999999998">
      <c r="A6" s="1157"/>
      <c r="B6" s="1162"/>
      <c r="C6" s="1157"/>
      <c r="D6" s="1497"/>
      <c r="E6" s="511"/>
      <c r="F6" s="169"/>
      <c r="G6" s="169"/>
      <c r="H6" s="169"/>
      <c r="I6" s="169"/>
      <c r="J6" s="170"/>
      <c r="K6" s="502"/>
      <c r="L6" s="502"/>
      <c r="M6" s="502"/>
      <c r="N6" s="502"/>
      <c r="O6" s="228"/>
      <c r="P6" s="502"/>
      <c r="Q6" s="227"/>
      <c r="R6" s="227"/>
      <c r="S6" s="227"/>
      <c r="T6" s="227"/>
      <c r="IU6" s="509">
        <v>14</v>
      </c>
    </row>
    <row s="1821" customFormat="1" customHeight="1" ht="14.699999999999998">
      <c r="A7" s="1157"/>
      <c r="B7" s="1162"/>
      <c r="C7" s="1157"/>
      <c r="D7" s="1497"/>
      <c r="E7" s="2103" t="s">
        <v>300</v>
      </c>
      <c r="F7" s="2104"/>
      <c r="G7" s="2104"/>
      <c r="H7" s="2104"/>
      <c r="I7" s="2104"/>
      <c r="J7" s="2476" t="s">
        <v>301</v>
      </c>
      <c r="K7" s="502"/>
      <c r="L7" s="502"/>
      <c r="M7" s="502"/>
      <c r="N7" s="502"/>
      <c r="O7" s="228"/>
      <c r="P7" s="502"/>
      <c r="Q7" s="227"/>
      <c r="R7" s="227"/>
      <c r="S7" s="227"/>
      <c r="T7" s="227"/>
      <c r="IU7" s="509">
        <v>14</v>
      </c>
    </row>
    <row s="1821" customFormat="1" customHeight="1" ht="21">
      <c r="A8" s="1157"/>
      <c r="B8" s="1162"/>
      <c r="C8" s="1157"/>
      <c r="D8" s="1497"/>
      <c r="E8" s="1550" t="s">
        <v>88</v>
      </c>
      <c r="F8" s="1542" t="s">
        <v>1870</v>
      </c>
      <c r="G8" s="1542" t="s">
        <v>48</v>
      </c>
      <c r="H8" s="1542" t="s">
        <v>50</v>
      </c>
      <c r="I8" s="1542" t="s">
        <v>1871</v>
      </c>
      <c r="J8" s="2477"/>
      <c r="K8" s="502"/>
      <c r="L8" s="502"/>
      <c r="M8" s="502"/>
      <c r="N8" s="502"/>
      <c r="O8" s="228"/>
      <c r="P8" s="502"/>
      <c r="Q8" s="227"/>
      <c r="R8" s="227"/>
      <c r="S8" s="227"/>
      <c r="T8" s="227"/>
      <c r="IU8" s="509">
        <v>20</v>
      </c>
    </row>
    <row s="1852" customFormat="1" customHeight="1" ht="23.25">
      <c r="A9" s="1633"/>
      <c r="B9" s="1162">
        <v>1</v>
      </c>
      <c r="C9" s="1162"/>
      <c r="D9" s="803"/>
      <c r="E9" s="1486">
        <v>1</v>
      </c>
      <c r="F9" s="1549"/>
      <c r="G9" s="1493"/>
      <c r="H9" s="1493"/>
      <c r="I9" s="1540"/>
      <c r="J9" s="217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7"/>
      <c r="L9" s="513"/>
      <c r="M9" s="513"/>
      <c r="N9" s="502" t="str">
        <f t="array" ref="N9:N9">IF(ISERROR(MATCH(MID(O9,1,250),MID(note_ter,1,250),0)),"n","y")</f>
        <v>n</v>
      </c>
      <c r="O9" s="513"/>
      <c r="P9" s="502"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2"/>
      <c r="R9" s="1162"/>
      <c r="S9" s="422"/>
      <c r="T9" s="1162"/>
      <c r="U9" s="1162"/>
      <c r="V9" s="1162"/>
      <c r="W9" s="424"/>
      <c r="X9" s="424"/>
      <c r="Y9" s="421"/>
      <c r="Z9" s="421"/>
      <c r="AA9" s="421"/>
      <c r="AB9" s="421"/>
      <c r="AC9" s="421"/>
      <c r="AD9" s="421"/>
      <c r="AE9" s="421"/>
      <c r="AF9" s="421"/>
      <c r="AG9" s="421"/>
      <c r="AH9" s="421"/>
      <c r="AI9" s="421"/>
      <c r="AJ9" s="421"/>
      <c r="AK9" s="421"/>
      <c r="AL9" s="421"/>
      <c r="AM9" s="421"/>
      <c r="AN9" s="421"/>
      <c r="AO9" s="421"/>
      <c r="AP9" s="421"/>
      <c r="AQ9" s="421"/>
      <c r="AR9" s="421"/>
      <c r="AS9" s="421"/>
      <c r="AT9" s="421"/>
      <c r="AU9" s="421"/>
      <c r="AV9" s="421"/>
      <c r="AW9" s="421"/>
      <c r="AX9" s="421"/>
      <c r="AY9" s="421"/>
      <c r="AZ9" s="421"/>
      <c r="BA9" s="421"/>
      <c r="BB9" s="421"/>
      <c r="BC9" s="421"/>
      <c r="BD9" s="421"/>
      <c r="BE9" s="421"/>
      <c r="BF9" s="421"/>
      <c r="BG9" s="421"/>
      <c r="BH9" s="421"/>
      <c r="BI9" s="421"/>
      <c r="BJ9" s="421"/>
      <c r="BK9" s="421"/>
      <c r="BL9" s="421"/>
      <c r="BM9" s="421"/>
      <c r="BN9" s="421"/>
      <c r="BO9" s="421"/>
      <c r="BP9" s="421"/>
      <c r="BQ9" s="421"/>
      <c r="BR9" s="421"/>
      <c r="BS9" s="421"/>
      <c r="BT9" s="424"/>
      <c r="BU9" s="424"/>
      <c r="BV9" s="424"/>
      <c r="BW9" s="424"/>
      <c r="BX9" s="424"/>
      <c r="BY9" s="424"/>
      <c r="BZ9" s="424"/>
      <c r="CA9" s="424"/>
      <c r="CB9" s="424"/>
      <c r="CC9" s="424"/>
      <c r="IU9" s="425">
        <v>22</v>
      </c>
    </row>
    <row s="1852" customFormat="1" customHeight="1" ht="15.75">
      <c r="A10" s="1633"/>
      <c r="B10" s="1162"/>
      <c r="C10" s="414"/>
      <c r="D10" s="803"/>
      <c r="E10" s="1543"/>
      <c r="F10" s="1502" t="s">
        <v>1872</v>
      </c>
      <c r="G10" s="1544"/>
      <c r="H10" s="1544"/>
      <c r="I10" s="1901"/>
      <c r="J10" s="2173"/>
      <c r="K10" s="1538"/>
      <c r="L10" s="513"/>
      <c r="M10" s="513"/>
      <c r="N10" s="513"/>
      <c r="O10" s="502"/>
      <c r="P10" s="513"/>
      <c r="Q10" s="1162"/>
      <c r="R10" s="1162"/>
      <c r="S10" s="422"/>
      <c r="T10" s="1162"/>
      <c r="U10" s="1162"/>
      <c r="V10" s="1162"/>
      <c r="W10" s="424"/>
      <c r="X10" s="424"/>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4"/>
      <c r="BU10" s="424"/>
      <c r="BV10" s="424"/>
      <c r="BW10" s="424"/>
      <c r="BX10" s="424"/>
      <c r="BY10" s="424"/>
      <c r="BZ10" s="424"/>
      <c r="CA10" s="424"/>
      <c r="CB10" s="424"/>
      <c r="CC10" s="424"/>
      <c r="IU10" s="425">
        <v>15</v>
      </c>
    </row>
    <row s="1821" customFormat="1" customHeight="1" ht="22.049999999999997">
      <c r="A11" s="1157"/>
      <c r="B11" s="1162"/>
      <c r="C11" s="1157"/>
      <c r="D11" s="453"/>
      <c r="E11" s="182"/>
      <c r="F11" s="182"/>
      <c r="G11" s="182"/>
      <c r="H11" s="182"/>
      <c r="I11" s="182"/>
      <c r="J11" s="182"/>
      <c r="K11" s="502"/>
      <c r="L11" s="502"/>
      <c r="M11" s="502"/>
      <c r="N11" s="502"/>
      <c r="O11" s="228"/>
      <c r="P11" s="502"/>
      <c r="Q11" s="227"/>
      <c r="R11" s="227"/>
      <c r="S11" s="227"/>
      <c r="T11" s="227"/>
      <c r="IU11" s="509">
        <v>21</v>
      </c>
    </row>
    <row s="1821" customFormat="1" customHeight="1" ht="14.699999999999998">
      <c r="A12" s="1157"/>
      <c r="B12" s="1162"/>
      <c r="C12" s="1157"/>
      <c r="D12" s="453"/>
      <c r="E12" s="1157"/>
      <c r="F12" s="1157"/>
      <c r="G12" s="1157"/>
      <c r="H12" s="1157"/>
      <c r="I12" s="1157"/>
      <c r="J12" s="1157"/>
      <c r="K12" s="502"/>
      <c r="L12" s="502"/>
      <c r="M12" s="502"/>
      <c r="N12" s="502"/>
      <c r="O12" s="228"/>
      <c r="P12" s="502"/>
      <c r="Q12" s="227"/>
      <c r="R12" s="227"/>
      <c r="S12" s="227"/>
      <c r="T12" s="227"/>
      <c r="IU12" s="509">
        <v>14</v>
      </c>
    </row>
    <row s="1821" customFormat="1" customHeight="1" ht="1.05">
      <c r="A13" s="1157"/>
      <c r="B13" s="1162"/>
      <c r="C13" s="1157"/>
      <c r="D13" s="453"/>
      <c r="E13" s="1157"/>
      <c r="F13" s="1157"/>
      <c r="G13" s="1157"/>
      <c r="H13" s="1157"/>
      <c r="I13" s="1157"/>
      <c r="J13" s="1157"/>
      <c r="K13" s="502"/>
      <c r="L13" s="502"/>
      <c r="M13" s="502"/>
      <c r="N13" s="502"/>
      <c r="O13" s="228"/>
      <c r="P13" s="502"/>
      <c r="Q13" s="227"/>
      <c r="R13" s="227"/>
      <c r="S13" s="227"/>
      <c r="T13" s="227"/>
      <c r="IU13" s="509">
        <v>1</v>
      </c>
    </row>
    <row s="1066" customFormat="1" customHeight="1" ht="10.5">
      <c r="B14" s="836"/>
      <c r="D14" s="184"/>
      <c r="K14" s="502"/>
      <c r="L14" s="502"/>
      <c r="M14" s="502"/>
      <c r="N14" s="502"/>
      <c r="O14" s="228"/>
      <c r="P14" s="502"/>
      <c r="Q14" s="227"/>
      <c r="R14" s="227"/>
      <c r="S14" s="227"/>
      <c r="T14" s="227"/>
      <c r="IU14" s="183">
        <v>10</v>
      </c>
    </row>
    <row s="1066" customFormat="1" customHeight="1" ht="10.5">
      <c r="B15" s="836"/>
      <c r="D15" s="184"/>
      <c r="K15" s="502"/>
      <c r="L15" s="502"/>
      <c r="M15" s="502"/>
      <c r="N15" s="502"/>
      <c r="O15" s="228"/>
      <c r="P15" s="502"/>
      <c r="Q15" s="227"/>
      <c r="R15" s="227"/>
      <c r="S15" s="227"/>
      <c r="T15" s="227"/>
      <c r="IU15" s="183">
        <v>10</v>
      </c>
    </row>
    <row customHeight="1" ht="14.699999999999998">
      <c r="IU16" s="1157">
        <v>14</v>
      </c>
    </row>
    <row customHeight="1" ht="14.699999999999998">
      <c r="IU17" s="1157">
        <v>14</v>
      </c>
    </row>
    <row customHeight="1" ht="14.699999999999998">
      <c r="IU18" s="1157">
        <v>14</v>
      </c>
    </row>
    <row customHeight="1" ht="14.699999999999998">
      <c r="G19" s="375"/>
      <c r="H19" s="375"/>
      <c r="I19" s="375"/>
      <c r="IU19" s="1157">
        <v>14</v>
      </c>
    </row>
    <row customHeight="1" ht="14.699999999999998">
      <c r="IU20" s="1157">
        <v>14</v>
      </c>
    </row>
    <row customHeight="1" ht="14.699999999999998">
      <c r="IU21" s="1157">
        <v>14</v>
      </c>
    </row>
    <row customHeight="1" ht="14.699999999999998">
      <c r="IU22" s="1157">
        <v>14</v>
      </c>
    </row>
    <row customHeight="1" ht="14.699999999999998">
      <c r="K23" s="1157"/>
      <c r="L23" s="1157"/>
      <c r="M23" s="1157"/>
      <c r="IU23" s="1157">
        <v>14</v>
      </c>
    </row>
    <row customHeight="1" ht="22.5" hidden="1">
      <c r="A24" s="1157" t="s">
        <v>82</v>
      </c>
      <c r="B24" s="1162">
        <v>0</v>
      </c>
      <c r="C24" s="1157">
        <v>0</v>
      </c>
      <c r="D24" s="453">
        <v>3</v>
      </c>
      <c r="E24" s="1157">
        <v>6</v>
      </c>
      <c r="F24" s="1157">
        <v>46</v>
      </c>
      <c r="G24" s="1157">
        <v>16</v>
      </c>
      <c r="H24" s="1157">
        <v>16</v>
      </c>
      <c r="I24" s="1157">
        <v>35</v>
      </c>
      <c r="J24" s="1157">
        <v>89</v>
      </c>
      <c r="K24" s="502">
        <v>3</v>
      </c>
      <c r="L24" s="502">
        <v>8</v>
      </c>
      <c r="M24" s="502">
        <v>8</v>
      </c>
      <c r="N24" s="502">
        <v>8</v>
      </c>
      <c r="O24" s="228">
        <v>25</v>
      </c>
      <c r="P24" s="502">
        <v>14</v>
      </c>
      <c r="Q24" s="227">
        <v>8</v>
      </c>
      <c r="R24" s="227">
        <v>8</v>
      </c>
      <c r="S24" s="227">
        <v>8</v>
      </c>
      <c r="T24" s="227">
        <v>8</v>
      </c>
      <c r="U24" s="1157">
        <v>8</v>
      </c>
      <c r="V24" s="1157">
        <v>8</v>
      </c>
      <c r="W24" s="1157">
        <v>8</v>
      </c>
      <c r="X24" s="1157">
        <v>8</v>
      </c>
      <c r="Y24" s="1157">
        <v>8</v>
      </c>
      <c r="Z24" s="1157">
        <v>8</v>
      </c>
      <c r="AA24" s="1157">
        <v>8</v>
      </c>
      <c r="AB24" s="1157">
        <v>8</v>
      </c>
      <c r="AC24" s="1157">
        <v>8</v>
      </c>
      <c r="AD24" s="1157">
        <v>8</v>
      </c>
      <c r="AE24" s="1157">
        <v>8</v>
      </c>
      <c r="AF24" s="1157">
        <v>8</v>
      </c>
      <c r="AG24" s="1157">
        <v>8</v>
      </c>
      <c r="AH24" s="1157">
        <v>8</v>
      </c>
      <c r="AI24" s="1157">
        <v>8</v>
      </c>
      <c r="AJ24" s="1157">
        <v>8</v>
      </c>
      <c r="AK24" s="1157">
        <v>8</v>
      </c>
      <c r="AL24" s="1157">
        <v>8</v>
      </c>
      <c r="AM24" s="1157">
        <v>8</v>
      </c>
      <c r="AN24" s="1157">
        <v>8</v>
      </c>
      <c r="AO24" s="1157">
        <v>8</v>
      </c>
      <c r="AP24" s="1157">
        <v>8</v>
      </c>
      <c r="AQ24" s="1157">
        <v>8</v>
      </c>
      <c r="AR24" s="1157">
        <v>8</v>
      </c>
      <c r="AS24" s="1157">
        <v>8</v>
      </c>
      <c r="AT24" s="1157">
        <v>8</v>
      </c>
      <c r="AU24" s="1157">
        <v>8</v>
      </c>
      <c r="AV24" s="1157">
        <v>8</v>
      </c>
      <c r="AW24" s="1157">
        <v>8</v>
      </c>
      <c r="AX24" s="1157">
        <v>8</v>
      </c>
      <c r="AY24" s="1157">
        <v>8</v>
      </c>
      <c r="AZ24" s="1157">
        <v>8</v>
      </c>
      <c r="BA24" s="1157">
        <v>8</v>
      </c>
      <c r="BB24" s="1157">
        <v>8</v>
      </c>
      <c r="BC24" s="1157">
        <v>8</v>
      </c>
      <c r="BD24" s="1157">
        <v>8</v>
      </c>
      <c r="BE24" s="1157">
        <v>8</v>
      </c>
      <c r="BF24" s="1157">
        <v>8</v>
      </c>
      <c r="BG24" s="1157">
        <v>8</v>
      </c>
      <c r="BH24" s="1157">
        <v>8</v>
      </c>
      <c r="BI24" s="1157">
        <v>8</v>
      </c>
      <c r="BJ24" s="1157">
        <v>8</v>
      </c>
      <c r="BK24" s="1157">
        <v>8</v>
      </c>
      <c r="BL24" s="1157">
        <v>8</v>
      </c>
      <c r="BM24" s="1157">
        <v>8</v>
      </c>
      <c r="BN24" s="1157">
        <v>8</v>
      </c>
      <c r="BO24" s="1157">
        <v>8</v>
      </c>
      <c r="BP24" s="1157">
        <v>8</v>
      </c>
      <c r="BQ24" s="1157">
        <v>8</v>
      </c>
      <c r="BR24" s="1157">
        <v>8</v>
      </c>
      <c r="BS24" s="1157">
        <v>8</v>
      </c>
      <c r="BT24" s="1157">
        <v>8</v>
      </c>
      <c r="BU24" s="1157">
        <v>8</v>
      </c>
      <c r="BV24" s="1157">
        <v>8</v>
      </c>
      <c r="BW24" s="1157">
        <v>8</v>
      </c>
      <c r="BX24" s="1157">
        <v>8</v>
      </c>
      <c r="BY24" s="1157">
        <v>8</v>
      </c>
      <c r="BZ24" s="1157">
        <v>8</v>
      </c>
      <c r="CA24" s="1157">
        <v>8</v>
      </c>
      <c r="CB24" s="1157">
        <v>8</v>
      </c>
      <c r="CC24" s="1157">
        <v>8</v>
      </c>
      <c r="CD24" s="1157">
        <v>8</v>
      </c>
      <c r="CE24" s="1157">
        <v>8</v>
      </c>
      <c r="CF24" s="1157">
        <v>8</v>
      </c>
      <c r="CG24" s="1157">
        <v>8</v>
      </c>
      <c r="CH24" s="1157">
        <v>8</v>
      </c>
      <c r="CI24" s="1157">
        <v>8</v>
      </c>
      <c r="CJ24" s="1157">
        <v>8</v>
      </c>
      <c r="CK24" s="1157">
        <v>8</v>
      </c>
      <c r="CL24" s="1157">
        <v>8</v>
      </c>
      <c r="CM24" s="1157">
        <v>8</v>
      </c>
      <c r="CN24" s="1157">
        <v>8</v>
      </c>
      <c r="CO24" s="1157">
        <v>8</v>
      </c>
      <c r="CP24" s="1157">
        <v>8</v>
      </c>
      <c r="CQ24" s="1157">
        <v>8</v>
      </c>
      <c r="CR24" s="1157">
        <v>8</v>
      </c>
      <c r="CS24" s="1157">
        <v>8</v>
      </c>
      <c r="CT24" s="1157">
        <v>8</v>
      </c>
      <c r="CU24" s="1157">
        <v>8</v>
      </c>
      <c r="CV24" s="1157">
        <v>8</v>
      </c>
      <c r="CW24" s="1157">
        <v>8</v>
      </c>
      <c r="CX24" s="1157">
        <v>8</v>
      </c>
      <c r="CY24" s="1157">
        <v>8</v>
      </c>
      <c r="CZ24" s="1157">
        <v>8</v>
      </c>
      <c r="DA24" s="1157">
        <v>8</v>
      </c>
      <c r="DB24" s="1157">
        <v>8</v>
      </c>
      <c r="DC24" s="1157">
        <v>8</v>
      </c>
      <c r="DD24" s="1157">
        <v>8</v>
      </c>
      <c r="DE24" s="1157">
        <v>8</v>
      </c>
      <c r="DF24" s="1157">
        <v>8</v>
      </c>
      <c r="DG24" s="1157">
        <v>8</v>
      </c>
      <c r="DH24" s="1157">
        <v>8</v>
      </c>
      <c r="DI24" s="1157">
        <v>8</v>
      </c>
      <c r="DJ24" s="1157">
        <v>8</v>
      </c>
      <c r="DK24" s="1157">
        <v>8</v>
      </c>
      <c r="DL24" s="1157">
        <v>8</v>
      </c>
      <c r="DM24" s="1157">
        <v>8</v>
      </c>
      <c r="DN24" s="1157">
        <v>8</v>
      </c>
      <c r="DO24" s="1157">
        <v>8</v>
      </c>
      <c r="DP24" s="1157">
        <v>8</v>
      </c>
      <c r="DQ24" s="1157">
        <v>8</v>
      </c>
      <c r="DR24" s="1157">
        <v>8</v>
      </c>
      <c r="DS24" s="1157">
        <v>8</v>
      </c>
      <c r="DT24" s="1157">
        <v>8</v>
      </c>
      <c r="DU24" s="1157">
        <v>8</v>
      </c>
      <c r="DV24" s="1157">
        <v>8</v>
      </c>
      <c r="DW24" s="1157">
        <v>8</v>
      </c>
      <c r="DX24" s="1157">
        <v>8</v>
      </c>
      <c r="DY24" s="1157">
        <v>8</v>
      </c>
      <c r="DZ24" s="1157">
        <v>8</v>
      </c>
      <c r="EA24" s="1157">
        <v>8</v>
      </c>
      <c r="EB24" s="1157">
        <v>8</v>
      </c>
      <c r="EC24" s="1157">
        <v>8</v>
      </c>
      <c r="ED24" s="1157">
        <v>8</v>
      </c>
      <c r="EE24" s="1157">
        <v>8</v>
      </c>
      <c r="EF24" s="1157">
        <v>8</v>
      </c>
      <c r="EG24" s="1157">
        <v>8</v>
      </c>
      <c r="EH24" s="1157">
        <v>8</v>
      </c>
      <c r="EI24" s="1157">
        <v>8</v>
      </c>
      <c r="EJ24" s="1157">
        <v>8</v>
      </c>
      <c r="EK24" s="1157">
        <v>8</v>
      </c>
      <c r="EL24" s="1157">
        <v>8</v>
      </c>
      <c r="EM24" s="1157">
        <v>8</v>
      </c>
      <c r="EN24" s="1157">
        <v>8</v>
      </c>
      <c r="EO24" s="1157">
        <v>8</v>
      </c>
      <c r="EP24" s="1157">
        <v>8</v>
      </c>
      <c r="EQ24" s="1157">
        <v>8</v>
      </c>
      <c r="ER24" s="1157">
        <v>8</v>
      </c>
      <c r="ES24" s="1157">
        <v>8</v>
      </c>
      <c r="ET24" s="1157">
        <v>8</v>
      </c>
      <c r="EU24" s="1157">
        <v>8</v>
      </c>
      <c r="EV24" s="1157">
        <v>8</v>
      </c>
      <c r="EW24" s="1157">
        <v>8</v>
      </c>
      <c r="EX24" s="1157">
        <v>8</v>
      </c>
      <c r="EY24" s="1157">
        <v>8</v>
      </c>
      <c r="EZ24" s="1157">
        <v>8</v>
      </c>
      <c r="FA24" s="1157">
        <v>8</v>
      </c>
      <c r="FB24" s="1157">
        <v>8</v>
      </c>
      <c r="FC24" s="1157">
        <v>8</v>
      </c>
      <c r="FD24" s="1157">
        <v>8</v>
      </c>
      <c r="FE24" s="1157">
        <v>8</v>
      </c>
      <c r="FF24" s="1157">
        <v>8</v>
      </c>
      <c r="FG24" s="1157">
        <v>8</v>
      </c>
      <c r="FH24" s="1157">
        <v>8</v>
      </c>
      <c r="FI24" s="1157">
        <v>8</v>
      </c>
      <c r="FJ24" s="1157">
        <v>8</v>
      </c>
      <c r="FK24" s="1157">
        <v>8</v>
      </c>
      <c r="FL24" s="1157">
        <v>8</v>
      </c>
      <c r="FM24" s="1157">
        <v>8</v>
      </c>
      <c r="FN24" s="1157">
        <v>8</v>
      </c>
      <c r="FO24" s="1157">
        <v>8</v>
      </c>
      <c r="FP24" s="1157">
        <v>8</v>
      </c>
      <c r="FQ24" s="1157">
        <v>8</v>
      </c>
      <c r="FR24" s="1157">
        <v>8</v>
      </c>
      <c r="FS24" s="1157">
        <v>8</v>
      </c>
      <c r="FT24" s="1157">
        <v>8</v>
      </c>
      <c r="FU24" s="1157">
        <v>8</v>
      </c>
      <c r="FV24" s="1157">
        <v>8</v>
      </c>
      <c r="FW24" s="1157">
        <v>8</v>
      </c>
      <c r="FX24" s="1157">
        <v>8</v>
      </c>
      <c r="FY24" s="1157">
        <v>8</v>
      </c>
      <c r="FZ24" s="1157">
        <v>8</v>
      </c>
      <c r="GA24" s="1157">
        <v>8</v>
      </c>
      <c r="GB24" s="1157">
        <v>8</v>
      </c>
      <c r="GC24" s="1157">
        <v>8</v>
      </c>
      <c r="GD24" s="1157">
        <v>8</v>
      </c>
      <c r="GE24" s="1157">
        <v>8</v>
      </c>
      <c r="GF24" s="1157">
        <v>8</v>
      </c>
      <c r="GG24" s="1157">
        <v>8</v>
      </c>
      <c r="GH24" s="1157">
        <v>8</v>
      </c>
      <c r="GI24" s="1157">
        <v>8</v>
      </c>
      <c r="GJ24" s="1157">
        <v>8</v>
      </c>
      <c r="GK24" s="1157">
        <v>8</v>
      </c>
      <c r="GL24" s="1157">
        <v>8</v>
      </c>
      <c r="GM24" s="1157">
        <v>8</v>
      </c>
      <c r="GN24" s="1157">
        <v>8</v>
      </c>
      <c r="GO24" s="1157">
        <v>8</v>
      </c>
      <c r="GP24" s="1157">
        <v>8</v>
      </c>
      <c r="GQ24" s="1157">
        <v>8</v>
      </c>
      <c r="GR24" s="1157">
        <v>8</v>
      </c>
      <c r="GS24" s="1157">
        <v>8</v>
      </c>
      <c r="GT24" s="1157">
        <v>8</v>
      </c>
      <c r="GU24" s="1157">
        <v>8</v>
      </c>
      <c r="GV24" s="1157">
        <v>8</v>
      </c>
      <c r="GW24" s="1157">
        <v>8</v>
      </c>
      <c r="GX24" s="1157">
        <v>8</v>
      </c>
      <c r="GY24" s="1157">
        <v>8</v>
      </c>
      <c r="GZ24" s="1157">
        <v>8</v>
      </c>
      <c r="HA24" s="1157">
        <v>8</v>
      </c>
      <c r="HB24" s="1157">
        <v>8</v>
      </c>
      <c r="HC24" s="1157">
        <v>8</v>
      </c>
      <c r="HD24" s="1157">
        <v>8</v>
      </c>
      <c r="HE24" s="1157">
        <v>8</v>
      </c>
      <c r="HF24" s="1157">
        <v>8</v>
      </c>
      <c r="HG24" s="1157">
        <v>8</v>
      </c>
      <c r="HH24" s="1157">
        <v>8</v>
      </c>
      <c r="HI24" s="1157">
        <v>8</v>
      </c>
      <c r="HJ24" s="1157">
        <v>8</v>
      </c>
      <c r="HK24" s="1157">
        <v>8</v>
      </c>
      <c r="HL24" s="1157">
        <v>8</v>
      </c>
      <c r="HM24" s="1157">
        <v>8</v>
      </c>
      <c r="HN24" s="1157">
        <v>8</v>
      </c>
      <c r="HO24" s="1157">
        <v>8</v>
      </c>
      <c r="HP24" s="1157">
        <v>8</v>
      </c>
      <c r="HQ24" s="1157">
        <v>8</v>
      </c>
      <c r="HR24" s="1157">
        <v>8</v>
      </c>
      <c r="HS24" s="1157">
        <v>8</v>
      </c>
      <c r="HT24" s="1157">
        <v>8</v>
      </c>
      <c r="HU24" s="1157">
        <v>8</v>
      </c>
      <c r="HV24" s="1157">
        <v>8</v>
      </c>
      <c r="HW24" s="1157">
        <v>8</v>
      </c>
      <c r="HX24" s="1157">
        <v>8</v>
      </c>
      <c r="HY24" s="1157">
        <v>8</v>
      </c>
      <c r="HZ24" s="1157">
        <v>8</v>
      </c>
      <c r="IA24" s="1157">
        <v>8</v>
      </c>
      <c r="IB24" s="1157">
        <v>8</v>
      </c>
      <c r="IC24" s="1157">
        <v>8</v>
      </c>
      <c r="ID24" s="1157">
        <v>8</v>
      </c>
      <c r="IE24" s="1157">
        <v>8</v>
      </c>
      <c r="IF24" s="1157">
        <v>8</v>
      </c>
      <c r="IG24" s="1157">
        <v>8</v>
      </c>
      <c r="IH24" s="1157">
        <v>8</v>
      </c>
      <c r="II24" s="1157">
        <v>8</v>
      </c>
      <c r="IJ24" s="1157">
        <v>8</v>
      </c>
      <c r="IK24" s="1157">
        <v>8</v>
      </c>
      <c r="IL24" s="1157">
        <v>8</v>
      </c>
      <c r="IM24" s="1157">
        <v>8</v>
      </c>
      <c r="IN24" s="1157">
        <v>8</v>
      </c>
      <c r="IO24" s="1157">
        <v>8</v>
      </c>
      <c r="IP24" s="1157">
        <v>8</v>
      </c>
      <c r="IQ24" s="1157">
        <v>8</v>
      </c>
      <c r="IR24" s="1157">
        <v>8</v>
      </c>
      <c r="IS24" s="1157">
        <v>8</v>
      </c>
      <c r="IT24" s="1157">
        <v>8</v>
      </c>
      <c r="IU24" s="1157">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DF15C1-C873-CFF2-1A01-7985FC46C3CF}"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157" t="s">
        <v>14</v>
      </c>
    </row>
    <row s="1852" customFormat="1" customHeight="1" ht="22.5" hidden="1">
      <c r="A2" s="833"/>
      <c r="B2" s="1162">
        <v>1</v>
      </c>
      <c r="C2" s="1162"/>
      <c r="D2" s="1930" t="s">
        <v>689</v>
      </c>
      <c r="E2" s="1891"/>
      <c r="F2" s="1894" t="str">
        <f>IF(ROIV_INFO_NAME="","",ROIV_INFO_NAME)</f>
        <v>ПАО "ТГК-2"</v>
      </c>
      <c r="G2" s="1919" t="s">
        <v>22</v>
      </c>
      <c r="H2" s="1918"/>
      <c r="I2" s="1540"/>
      <c r="J2" s="820"/>
      <c r="K2" s="820"/>
      <c r="L2" s="230"/>
      <c r="M2" s="1537">
        <f>MERGEVALUE(F2)</f>
      </c>
      <c r="N2" s="513"/>
      <c r="O2" s="513"/>
      <c r="P2" s="502" t="str">
        <f t="array" ref="P2:P2">IF(ISERROR(MATCH(MID(Q2,1,250),MID(note_ter,1,250),0)),"n","y")</f>
        <v>n</v>
      </c>
      <c r="Q2" s="513"/>
      <c r="R2" s="502" t="str">
        <f>G2&amp;"("&amp;L2&amp;")"</f>
        <v>()</v>
      </c>
      <c r="S2" s="1162"/>
      <c r="T2" s="1162"/>
      <c r="U2" s="422"/>
      <c r="V2" s="1162"/>
      <c r="W2" s="1162"/>
      <c r="X2" s="1162"/>
      <c r="Y2" s="424"/>
      <c r="Z2" s="424"/>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1"/>
      <c r="BU2" s="421"/>
      <c r="BV2" s="424"/>
      <c r="BW2" s="424"/>
      <c r="BX2" s="424"/>
      <c r="BY2" s="424"/>
      <c r="BZ2" s="424"/>
      <c r="CA2" s="424"/>
      <c r="CB2" s="424"/>
      <c r="CC2" s="424"/>
      <c r="CD2" s="424"/>
      <c r="CE2" s="424"/>
      <c r="IW2" s="425">
        <v>0</v>
      </c>
    </row>
    <row s="1644" customFormat="1" customHeight="1" ht="5.25" hidden="1">
      <c r="A3" s="498"/>
      <c r="D3" s="496"/>
      <c r="F3" s="249" t="s">
        <v>83</v>
      </c>
      <c r="G3" s="1737" t="s">
        <v>84</v>
      </c>
      <c r="H3" s="496"/>
      <c r="I3" s="496"/>
      <c r="J3" s="496"/>
      <c r="K3" s="496"/>
      <c r="L3" s="229" t="s">
        <v>85</v>
      </c>
      <c r="M3" s="249" t="s">
        <v>83</v>
      </c>
      <c r="N3" s="249"/>
      <c r="O3" s="249"/>
      <c r="P3" s="249"/>
      <c r="Q3" s="250"/>
      <c r="R3" s="249"/>
      <c r="S3" s="249"/>
      <c r="T3" s="249"/>
      <c r="U3" s="249"/>
      <c r="V3" s="24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513">
        <v>0</v>
      </c>
    </row>
    <row s="1821" customFormat="1" customHeight="1" ht="14.699999999999998">
      <c r="A4" s="1157"/>
      <c r="B4" s="1162"/>
      <c r="C4" s="1157"/>
      <c r="D4" s="1497"/>
      <c r="E4" s="511"/>
      <c r="F4" s="511"/>
      <c r="G4" s="511"/>
      <c r="H4" s="511"/>
      <c r="I4" s="511"/>
      <c r="J4" s="511"/>
      <c r="K4" s="511"/>
      <c r="L4" s="168"/>
      <c r="M4" s="249"/>
      <c r="N4" s="502"/>
      <c r="O4" s="502"/>
      <c r="P4" s="502"/>
      <c r="Q4" s="228"/>
      <c r="R4" s="502"/>
      <c r="S4" s="227"/>
      <c r="T4" s="227"/>
      <c r="U4" s="227"/>
      <c r="V4" s="227"/>
      <c r="IW4" s="509">
        <v>14</v>
      </c>
    </row>
    <row s="1821" customFormat="1" customHeight="1" ht="27.299999999999997">
      <c r="A5" s="1157"/>
      <c r="B5" s="1162"/>
      <c r="C5" s="1157"/>
      <c r="D5" s="149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590"/>
      <c r="M5" s="249"/>
      <c r="N5" s="502"/>
      <c r="O5" s="502"/>
      <c r="P5" s="502"/>
      <c r="Q5" s="228"/>
      <c r="R5" s="502"/>
      <c r="S5" s="227"/>
      <c r="T5" s="227"/>
      <c r="U5" s="227"/>
      <c r="V5" s="227"/>
      <c r="IW5" s="509">
        <v>26</v>
      </c>
    </row>
    <row s="1821" customFormat="1" customHeight="1" ht="14.699999999999998">
      <c r="A6" s="1157"/>
      <c r="B6" s="1162"/>
      <c r="C6" s="1157"/>
      <c r="D6" s="1497"/>
      <c r="E6" s="511"/>
      <c r="F6" s="169"/>
      <c r="G6" s="169"/>
      <c r="H6" s="169"/>
      <c r="I6" s="169"/>
      <c r="J6" s="169"/>
      <c r="K6" s="169"/>
      <c r="L6" s="170"/>
      <c r="M6" s="502"/>
      <c r="N6" s="502"/>
      <c r="O6" s="502"/>
      <c r="P6" s="502"/>
      <c r="Q6" s="228"/>
      <c r="R6" s="502"/>
      <c r="S6" s="227"/>
      <c r="T6" s="227"/>
      <c r="U6" s="227"/>
      <c r="V6" s="227"/>
      <c r="IW6" s="509">
        <v>14</v>
      </c>
    </row>
    <row s="1821" customFormat="1" customHeight="1" ht="14.699999999999998">
      <c r="A7" s="1157"/>
      <c r="B7" s="1162"/>
      <c r="C7" s="1157"/>
      <c r="D7" s="1497"/>
      <c r="E7" s="2103" t="s">
        <v>300</v>
      </c>
      <c r="F7" s="2104"/>
      <c r="G7" s="2104"/>
      <c r="H7" s="2104"/>
      <c r="I7" s="2104"/>
      <c r="J7" s="2104"/>
      <c r="K7" s="2104"/>
      <c r="L7" s="2476" t="s">
        <v>301</v>
      </c>
      <c r="M7" s="502"/>
      <c r="N7" s="502"/>
      <c r="O7" s="502"/>
      <c r="P7" s="502"/>
      <c r="Q7" s="228"/>
      <c r="R7" s="502"/>
      <c r="S7" s="227"/>
      <c r="T7" s="227"/>
      <c r="U7" s="227"/>
      <c r="V7" s="227"/>
      <c r="IW7" s="509">
        <v>14</v>
      </c>
    </row>
    <row s="1821" customFormat="1" customHeight="1" ht="67.2">
      <c r="A8" s="1157"/>
      <c r="B8" s="1162"/>
      <c r="C8" s="1157"/>
      <c r="D8" s="1497"/>
      <c r="E8" s="2480" t="s">
        <v>88</v>
      </c>
      <c r="F8" s="248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3"/>
      <c r="I8" s="2484"/>
      <c r="J8" s="248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502"/>
      <c r="N8" s="502"/>
      <c r="O8" s="502"/>
      <c r="P8" s="502"/>
      <c r="Q8" s="228"/>
      <c r="R8" s="502"/>
      <c r="S8" s="227"/>
      <c r="T8" s="227"/>
      <c r="U8" s="227"/>
      <c r="V8" s="227"/>
      <c r="IW8" s="509">
        <v>64</v>
      </c>
    </row>
    <row s="1821" customFormat="1" customHeight="1" ht="29.25">
      <c r="A9" s="1157"/>
      <c r="B9" s="1162"/>
      <c r="C9" s="1157"/>
      <c r="D9" s="1497"/>
      <c r="E9" s="2481"/>
      <c r="F9" s="2481"/>
      <c r="G9" s="1539" t="s">
        <v>1873</v>
      </c>
      <c r="H9" s="1539" t="s">
        <v>1874</v>
      </c>
      <c r="I9" s="1539" t="s">
        <v>1875</v>
      </c>
      <c r="J9" s="2481"/>
      <c r="K9" s="2481"/>
      <c r="L9" s="2477"/>
      <c r="M9" s="502"/>
      <c r="N9" s="502"/>
      <c r="O9" s="502"/>
      <c r="P9" s="502"/>
      <c r="Q9" s="228"/>
      <c r="R9" s="502"/>
      <c r="S9" s="227"/>
      <c r="T9" s="227"/>
      <c r="U9" s="227"/>
      <c r="V9" s="227"/>
      <c r="IW9" s="509">
        <v>28</v>
      </c>
    </row>
    <row s="1852" customFormat="1" customHeight="1" ht="23.25">
      <c r="A10" s="2101"/>
      <c r="B10" s="1162">
        <v>1</v>
      </c>
      <c r="C10" s="1162"/>
      <c r="D10" s="802"/>
      <c r="E10" s="800">
        <v>1</v>
      </c>
      <c r="F10" s="1541" t="str">
        <f>IF(ROIV_INFO_NAME="","",ROIV_INFO_NAME)</f>
        <v>ПАО "ТГК-2"</v>
      </c>
      <c r="G10" s="1734" t="s">
        <v>22</v>
      </c>
      <c r="H10" s="1918"/>
      <c r="I10" s="1536"/>
      <c r="J10" s="820"/>
      <c r="K10" s="820"/>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513"/>
      <c r="O10" s="513"/>
      <c r="P10" s="502" t="str">
        <f t="array" ref="P10:P10">IF(ISERROR(MATCH(MID(Q10,1,250),MID(note_ter,1,250),0)),"n","y")</f>
        <v>n</v>
      </c>
      <c r="Q10" s="513"/>
      <c r="R10" s="50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2"/>
      <c r="T10" s="1162"/>
      <c r="U10" s="422"/>
      <c r="V10" s="1162"/>
      <c r="W10" s="1162"/>
      <c r="X10" s="1162"/>
      <c r="Y10" s="424"/>
      <c r="Z10" s="424"/>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4"/>
      <c r="BW10" s="424"/>
      <c r="BX10" s="424"/>
      <c r="BY10" s="424"/>
      <c r="BZ10" s="424"/>
      <c r="CA10" s="424"/>
      <c r="CB10" s="424"/>
      <c r="CC10" s="424"/>
      <c r="CD10" s="424"/>
      <c r="CE10" s="424"/>
      <c r="IW10" s="425">
        <v>22</v>
      </c>
    </row>
    <row s="1852" customFormat="1" customHeight="1" ht="15.75">
      <c r="A11" s="2101"/>
      <c r="B11" s="1162"/>
      <c r="C11" s="414"/>
      <c r="D11" s="803"/>
      <c r="E11" s="423"/>
      <c r="F11" s="418" t="s">
        <v>1876</v>
      </c>
      <c r="G11" s="189"/>
      <c r="H11" s="189"/>
      <c r="I11" s="189"/>
      <c r="J11" s="189"/>
      <c r="K11" s="426"/>
      <c r="L11" s="2479"/>
      <c r="M11" s="1538"/>
      <c r="N11" s="513"/>
      <c r="O11" s="513"/>
      <c r="P11" s="513"/>
      <c r="Q11" s="502"/>
      <c r="R11" s="513"/>
      <c r="S11" s="1162"/>
      <c r="T11" s="1162"/>
      <c r="U11" s="422"/>
      <c r="V11" s="1162"/>
      <c r="W11" s="1162"/>
      <c r="X11" s="1162"/>
      <c r="Y11" s="424"/>
      <c r="Z11" s="424"/>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c r="BG11" s="421"/>
      <c r="BH11" s="421"/>
      <c r="BI11" s="421"/>
      <c r="BJ11" s="421"/>
      <c r="BK11" s="421"/>
      <c r="BL11" s="421"/>
      <c r="BM11" s="421"/>
      <c r="BN11" s="421"/>
      <c r="BO11" s="421"/>
      <c r="BP11" s="421"/>
      <c r="BQ11" s="421"/>
      <c r="BR11" s="421"/>
      <c r="BS11" s="421"/>
      <c r="BT11" s="421"/>
      <c r="BU11" s="421"/>
      <c r="BV11" s="424"/>
      <c r="BW11" s="424"/>
      <c r="BX11" s="424"/>
      <c r="BY11" s="424"/>
      <c r="BZ11" s="424"/>
      <c r="CA11" s="424"/>
      <c r="CB11" s="424"/>
      <c r="CC11" s="424"/>
      <c r="CD11" s="424"/>
      <c r="CE11" s="424"/>
      <c r="IW11" s="425">
        <v>15</v>
      </c>
    </row>
    <row s="1821" customFormat="1" customHeight="1" ht="22.049999999999997">
      <c r="A12" s="1157"/>
      <c r="B12" s="1162"/>
      <c r="C12" s="1157"/>
      <c r="D12" s="453"/>
      <c r="E12" s="182"/>
      <c r="F12" s="182"/>
      <c r="G12" s="182"/>
      <c r="H12" s="182"/>
      <c r="I12" s="182"/>
      <c r="J12" s="182"/>
      <c r="K12" s="182"/>
      <c r="L12" s="182"/>
      <c r="M12" s="502"/>
      <c r="N12" s="502"/>
      <c r="O12" s="502"/>
      <c r="P12" s="502"/>
      <c r="Q12" s="228"/>
      <c r="R12" s="502"/>
      <c r="S12" s="227"/>
      <c r="T12" s="227"/>
      <c r="U12" s="227"/>
      <c r="V12" s="227"/>
      <c r="IW12" s="509">
        <v>21</v>
      </c>
    </row>
    <row s="1821" customFormat="1" customHeight="1" ht="14.699999999999998">
      <c r="A13" s="1157"/>
      <c r="B13" s="1162"/>
      <c r="C13" s="1157"/>
      <c r="D13" s="453"/>
      <c r="E13" s="1157"/>
      <c r="F13" s="1157"/>
      <c r="G13" s="1157"/>
      <c r="H13" s="1157"/>
      <c r="I13" s="1157"/>
      <c r="J13" s="1157"/>
      <c r="K13" s="1157"/>
      <c r="L13" s="1157"/>
      <c r="M13" s="502"/>
      <c r="N13" s="502"/>
      <c r="O13" s="502"/>
      <c r="P13" s="502"/>
      <c r="Q13" s="228"/>
      <c r="R13" s="502"/>
      <c r="S13" s="227"/>
      <c r="T13" s="227"/>
      <c r="U13" s="227"/>
      <c r="V13" s="227"/>
      <c r="IW13" s="509">
        <v>14</v>
      </c>
    </row>
    <row s="1821" customFormat="1" customHeight="1" ht="1.05">
      <c r="A14" s="1157"/>
      <c r="B14" s="1162"/>
      <c r="C14" s="1157"/>
      <c r="D14" s="453"/>
      <c r="E14" s="1157"/>
      <c r="F14" s="1157"/>
      <c r="G14" s="1157"/>
      <c r="H14" s="1157"/>
      <c r="I14" s="1157"/>
      <c r="J14" s="1157"/>
      <c r="K14" s="1157"/>
      <c r="L14" s="1157"/>
      <c r="M14" s="502"/>
      <c r="N14" s="502"/>
      <c r="O14" s="502"/>
      <c r="P14" s="502"/>
      <c r="Q14" s="228"/>
      <c r="R14" s="502"/>
      <c r="S14" s="227"/>
      <c r="T14" s="227"/>
      <c r="U14" s="227"/>
      <c r="V14" s="227"/>
      <c r="IW14" s="509">
        <v>1</v>
      </c>
    </row>
    <row customHeight="1" ht="22.5" hidden="1">
      <c r="A15" s="1157" t="s">
        <v>82</v>
      </c>
      <c r="B15" s="1162">
        <v>0</v>
      </c>
      <c r="C15" s="1157">
        <v>0</v>
      </c>
      <c r="D15" s="453">
        <v>3</v>
      </c>
      <c r="E15" s="1157">
        <v>6</v>
      </c>
      <c r="F15" s="1157">
        <v>27</v>
      </c>
      <c r="G15" s="1157">
        <v>16</v>
      </c>
      <c r="H15" s="1157">
        <v>12</v>
      </c>
      <c r="I15" s="1157">
        <v>32</v>
      </c>
      <c r="J15" s="1157">
        <v>41</v>
      </c>
      <c r="K15" s="1157">
        <v>41</v>
      </c>
      <c r="L15" s="1157">
        <v>89</v>
      </c>
      <c r="M15" s="502">
        <v>3</v>
      </c>
      <c r="N15" s="502">
        <v>8</v>
      </c>
      <c r="O15" s="502">
        <v>8</v>
      </c>
      <c r="P15" s="502">
        <v>8</v>
      </c>
      <c r="Q15" s="228">
        <v>25</v>
      </c>
      <c r="R15" s="502">
        <v>14</v>
      </c>
      <c r="S15" s="227">
        <v>8</v>
      </c>
      <c r="T15" s="227">
        <v>8</v>
      </c>
      <c r="U15" s="227">
        <v>8</v>
      </c>
      <c r="V15" s="227">
        <v>8</v>
      </c>
      <c r="W15" s="1157">
        <v>8</v>
      </c>
      <c r="X15" s="1157">
        <v>8</v>
      </c>
      <c r="Y15" s="1157">
        <v>8</v>
      </c>
      <c r="Z15" s="1157">
        <v>8</v>
      </c>
      <c r="AA15" s="1157">
        <v>8</v>
      </c>
      <c r="AB15" s="1157">
        <v>8</v>
      </c>
      <c r="AC15" s="1157">
        <v>8</v>
      </c>
      <c r="AD15" s="1157">
        <v>8</v>
      </c>
      <c r="AE15" s="1157">
        <v>8</v>
      </c>
      <c r="AF15" s="1157">
        <v>8</v>
      </c>
      <c r="AG15" s="1157">
        <v>8</v>
      </c>
      <c r="AH15" s="1157">
        <v>8</v>
      </c>
      <c r="AI15" s="1157">
        <v>8</v>
      </c>
      <c r="AJ15" s="1157">
        <v>8</v>
      </c>
      <c r="AK15" s="1157">
        <v>8</v>
      </c>
      <c r="AL15" s="1157">
        <v>8</v>
      </c>
      <c r="AM15" s="1157">
        <v>8</v>
      </c>
      <c r="AN15" s="1157">
        <v>8</v>
      </c>
      <c r="AO15" s="1157">
        <v>8</v>
      </c>
      <c r="AP15" s="1157">
        <v>8</v>
      </c>
      <c r="AQ15" s="1157">
        <v>8</v>
      </c>
      <c r="AR15" s="1157">
        <v>8</v>
      </c>
      <c r="AS15" s="1157">
        <v>8</v>
      </c>
      <c r="AT15" s="1157">
        <v>8</v>
      </c>
      <c r="AU15" s="1157">
        <v>8</v>
      </c>
      <c r="AV15" s="1157">
        <v>8</v>
      </c>
      <c r="AW15" s="1157">
        <v>8</v>
      </c>
      <c r="AX15" s="1157">
        <v>8</v>
      </c>
      <c r="AY15" s="1157">
        <v>8</v>
      </c>
      <c r="AZ15" s="1157">
        <v>8</v>
      </c>
      <c r="BA15" s="1157">
        <v>8</v>
      </c>
      <c r="BB15" s="1157">
        <v>8</v>
      </c>
      <c r="BC15" s="1157">
        <v>8</v>
      </c>
      <c r="BD15" s="1157">
        <v>8</v>
      </c>
      <c r="BE15" s="1157">
        <v>8</v>
      </c>
      <c r="BF15" s="1157">
        <v>8</v>
      </c>
      <c r="BG15" s="1157">
        <v>8</v>
      </c>
      <c r="BH15" s="1157">
        <v>8</v>
      </c>
      <c r="BI15" s="1157">
        <v>8</v>
      </c>
      <c r="BJ15" s="1157">
        <v>8</v>
      </c>
      <c r="BK15" s="1157">
        <v>8</v>
      </c>
      <c r="BL15" s="1157">
        <v>8</v>
      </c>
      <c r="BM15" s="1157">
        <v>8</v>
      </c>
      <c r="BN15" s="1157">
        <v>8</v>
      </c>
      <c r="BO15" s="1157">
        <v>8</v>
      </c>
      <c r="BP15" s="1157">
        <v>8</v>
      </c>
      <c r="BQ15" s="1157">
        <v>8</v>
      </c>
      <c r="BR15" s="1157">
        <v>8</v>
      </c>
      <c r="BS15" s="1157">
        <v>8</v>
      </c>
      <c r="BT15" s="1157">
        <v>8</v>
      </c>
      <c r="BU15" s="1157">
        <v>8</v>
      </c>
      <c r="BV15" s="1157">
        <v>8</v>
      </c>
      <c r="BW15" s="1157">
        <v>8</v>
      </c>
      <c r="BX15" s="1157">
        <v>8</v>
      </c>
      <c r="BY15" s="1157">
        <v>8</v>
      </c>
      <c r="BZ15" s="1157">
        <v>8</v>
      </c>
      <c r="CA15" s="1157">
        <v>8</v>
      </c>
      <c r="CB15" s="1157">
        <v>8</v>
      </c>
      <c r="CC15" s="1157">
        <v>8</v>
      </c>
      <c r="CD15" s="1157">
        <v>8</v>
      </c>
      <c r="CE15" s="1157">
        <v>8</v>
      </c>
      <c r="CF15" s="1157">
        <v>8</v>
      </c>
      <c r="CG15" s="1157">
        <v>8</v>
      </c>
      <c r="CH15" s="1157">
        <v>8</v>
      </c>
      <c r="CI15" s="1157">
        <v>8</v>
      </c>
      <c r="CJ15" s="1157">
        <v>8</v>
      </c>
      <c r="CK15" s="1157">
        <v>8</v>
      </c>
      <c r="CL15" s="1157">
        <v>8</v>
      </c>
      <c r="CM15" s="1157">
        <v>8</v>
      </c>
      <c r="CN15" s="1157">
        <v>8</v>
      </c>
      <c r="CO15" s="1157">
        <v>8</v>
      </c>
      <c r="CP15" s="1157">
        <v>8</v>
      </c>
      <c r="CQ15" s="1157">
        <v>8</v>
      </c>
      <c r="CR15" s="1157">
        <v>8</v>
      </c>
      <c r="CS15" s="1157">
        <v>8</v>
      </c>
      <c r="CT15" s="1157">
        <v>8</v>
      </c>
      <c r="CU15" s="1157">
        <v>8</v>
      </c>
      <c r="CV15" s="1157">
        <v>8</v>
      </c>
      <c r="CW15" s="1157">
        <v>8</v>
      </c>
      <c r="CX15" s="1157">
        <v>8</v>
      </c>
      <c r="CY15" s="1157">
        <v>8</v>
      </c>
      <c r="CZ15" s="1157">
        <v>8</v>
      </c>
      <c r="DA15" s="1157">
        <v>8</v>
      </c>
      <c r="DB15" s="1157">
        <v>8</v>
      </c>
      <c r="DC15" s="1157">
        <v>8</v>
      </c>
      <c r="DD15" s="1157">
        <v>8</v>
      </c>
      <c r="DE15" s="1157">
        <v>8</v>
      </c>
      <c r="DF15" s="1157">
        <v>8</v>
      </c>
      <c r="DG15" s="1157">
        <v>8</v>
      </c>
      <c r="DH15" s="1157">
        <v>8</v>
      </c>
      <c r="DI15" s="1157">
        <v>8</v>
      </c>
      <c r="DJ15" s="1157">
        <v>8</v>
      </c>
      <c r="DK15" s="1157">
        <v>8</v>
      </c>
      <c r="DL15" s="1157">
        <v>8</v>
      </c>
      <c r="DM15" s="1157">
        <v>8</v>
      </c>
      <c r="DN15" s="1157">
        <v>8</v>
      </c>
      <c r="DO15" s="1157">
        <v>8</v>
      </c>
      <c r="DP15" s="1157">
        <v>8</v>
      </c>
      <c r="DQ15" s="1157">
        <v>8</v>
      </c>
      <c r="DR15" s="1157">
        <v>8</v>
      </c>
      <c r="DS15" s="1157">
        <v>8</v>
      </c>
      <c r="DT15" s="1157">
        <v>8</v>
      </c>
      <c r="DU15" s="1157">
        <v>8</v>
      </c>
      <c r="DV15" s="1157">
        <v>8</v>
      </c>
      <c r="DW15" s="1157">
        <v>8</v>
      </c>
      <c r="DX15" s="1157">
        <v>8</v>
      </c>
      <c r="DY15" s="1157">
        <v>8</v>
      </c>
      <c r="DZ15" s="1157">
        <v>8</v>
      </c>
      <c r="EA15" s="1157">
        <v>8</v>
      </c>
      <c r="EB15" s="1157">
        <v>8</v>
      </c>
      <c r="EC15" s="1157">
        <v>8</v>
      </c>
      <c r="ED15" s="1157">
        <v>8</v>
      </c>
      <c r="EE15" s="1157">
        <v>8</v>
      </c>
      <c r="EF15" s="1157">
        <v>8</v>
      </c>
      <c r="EG15" s="1157">
        <v>8</v>
      </c>
      <c r="EH15" s="1157">
        <v>8</v>
      </c>
      <c r="EI15" s="1157">
        <v>8</v>
      </c>
      <c r="EJ15" s="1157">
        <v>8</v>
      </c>
      <c r="EK15" s="1157">
        <v>8</v>
      </c>
      <c r="EL15" s="1157">
        <v>8</v>
      </c>
      <c r="EM15" s="1157">
        <v>8</v>
      </c>
      <c r="EN15" s="1157">
        <v>8</v>
      </c>
      <c r="EO15" s="1157">
        <v>8</v>
      </c>
      <c r="EP15" s="1157">
        <v>8</v>
      </c>
      <c r="EQ15" s="1157">
        <v>8</v>
      </c>
      <c r="ER15" s="1157">
        <v>8</v>
      </c>
      <c r="ES15" s="1157">
        <v>8</v>
      </c>
      <c r="ET15" s="1157">
        <v>8</v>
      </c>
      <c r="EU15" s="1157">
        <v>8</v>
      </c>
      <c r="EV15" s="1157">
        <v>8</v>
      </c>
      <c r="EW15" s="1157">
        <v>8</v>
      </c>
      <c r="EX15" s="1157">
        <v>8</v>
      </c>
      <c r="EY15" s="1157">
        <v>8</v>
      </c>
      <c r="EZ15" s="1157">
        <v>8</v>
      </c>
      <c r="FA15" s="1157">
        <v>8</v>
      </c>
      <c r="FB15" s="1157">
        <v>8</v>
      </c>
      <c r="FC15" s="1157">
        <v>8</v>
      </c>
      <c r="FD15" s="1157">
        <v>8</v>
      </c>
      <c r="FE15" s="1157">
        <v>8</v>
      </c>
      <c r="FF15" s="1157">
        <v>8</v>
      </c>
      <c r="FG15" s="1157">
        <v>8</v>
      </c>
      <c r="FH15" s="1157">
        <v>8</v>
      </c>
      <c r="FI15" s="1157">
        <v>8</v>
      </c>
      <c r="FJ15" s="1157">
        <v>8</v>
      </c>
      <c r="FK15" s="1157">
        <v>8</v>
      </c>
      <c r="FL15" s="1157">
        <v>8</v>
      </c>
      <c r="FM15" s="1157">
        <v>8</v>
      </c>
      <c r="FN15" s="1157">
        <v>8</v>
      </c>
      <c r="FO15" s="1157">
        <v>8</v>
      </c>
      <c r="FP15" s="1157">
        <v>8</v>
      </c>
      <c r="FQ15" s="1157">
        <v>8</v>
      </c>
      <c r="FR15" s="1157">
        <v>8</v>
      </c>
      <c r="FS15" s="1157">
        <v>8</v>
      </c>
      <c r="FT15" s="1157">
        <v>8</v>
      </c>
      <c r="FU15" s="1157">
        <v>8</v>
      </c>
      <c r="FV15" s="1157">
        <v>8</v>
      </c>
      <c r="FW15" s="1157">
        <v>8</v>
      </c>
      <c r="FX15" s="1157">
        <v>8</v>
      </c>
      <c r="FY15" s="1157">
        <v>8</v>
      </c>
      <c r="FZ15" s="1157">
        <v>8</v>
      </c>
      <c r="GA15" s="1157">
        <v>8</v>
      </c>
      <c r="GB15" s="1157">
        <v>8</v>
      </c>
      <c r="GC15" s="1157">
        <v>8</v>
      </c>
      <c r="GD15" s="1157">
        <v>8</v>
      </c>
      <c r="GE15" s="1157">
        <v>8</v>
      </c>
      <c r="GF15" s="1157">
        <v>8</v>
      </c>
      <c r="GG15" s="1157">
        <v>8</v>
      </c>
      <c r="GH15" s="1157">
        <v>8</v>
      </c>
      <c r="GI15" s="1157">
        <v>8</v>
      </c>
      <c r="GJ15" s="1157">
        <v>8</v>
      </c>
      <c r="GK15" s="1157">
        <v>8</v>
      </c>
      <c r="GL15" s="1157">
        <v>8</v>
      </c>
      <c r="GM15" s="1157">
        <v>8</v>
      </c>
      <c r="GN15" s="1157">
        <v>8</v>
      </c>
      <c r="GO15" s="1157">
        <v>8</v>
      </c>
      <c r="GP15" s="1157">
        <v>8</v>
      </c>
      <c r="GQ15" s="1157">
        <v>8</v>
      </c>
      <c r="GR15" s="1157">
        <v>8</v>
      </c>
      <c r="GS15" s="1157">
        <v>8</v>
      </c>
      <c r="GT15" s="1157">
        <v>8</v>
      </c>
      <c r="GU15" s="1157">
        <v>8</v>
      </c>
      <c r="GV15" s="1157">
        <v>8</v>
      </c>
      <c r="GW15" s="1157">
        <v>8</v>
      </c>
      <c r="GX15" s="1157">
        <v>8</v>
      </c>
      <c r="GY15" s="1157">
        <v>8</v>
      </c>
      <c r="GZ15" s="1157">
        <v>8</v>
      </c>
      <c r="HA15" s="1157">
        <v>8</v>
      </c>
      <c r="HB15" s="1157">
        <v>8</v>
      </c>
      <c r="HC15" s="1157">
        <v>8</v>
      </c>
      <c r="HD15" s="1157">
        <v>8</v>
      </c>
      <c r="HE15" s="1157">
        <v>8</v>
      </c>
      <c r="HF15" s="1157">
        <v>8</v>
      </c>
      <c r="HG15" s="1157">
        <v>8</v>
      </c>
      <c r="HH15" s="1157">
        <v>8</v>
      </c>
      <c r="HI15" s="1157">
        <v>8</v>
      </c>
      <c r="HJ15" s="1157">
        <v>8</v>
      </c>
      <c r="HK15" s="1157">
        <v>8</v>
      </c>
      <c r="HL15" s="1157">
        <v>8</v>
      </c>
      <c r="HM15" s="1157">
        <v>8</v>
      </c>
      <c r="HN15" s="1157">
        <v>8</v>
      </c>
      <c r="HO15" s="1157">
        <v>8</v>
      </c>
      <c r="HP15" s="1157">
        <v>8</v>
      </c>
      <c r="HQ15" s="1157">
        <v>8</v>
      </c>
      <c r="HR15" s="1157">
        <v>8</v>
      </c>
      <c r="HS15" s="1157">
        <v>8</v>
      </c>
      <c r="HT15" s="1157">
        <v>8</v>
      </c>
      <c r="HU15" s="1157">
        <v>8</v>
      </c>
      <c r="HV15" s="1157">
        <v>8</v>
      </c>
      <c r="HW15" s="1157">
        <v>8</v>
      </c>
      <c r="HX15" s="1157">
        <v>8</v>
      </c>
      <c r="HY15" s="1157">
        <v>8</v>
      </c>
      <c r="HZ15" s="1157">
        <v>8</v>
      </c>
      <c r="IA15" s="1157">
        <v>8</v>
      </c>
      <c r="IB15" s="1157">
        <v>8</v>
      </c>
      <c r="IC15" s="1157">
        <v>8</v>
      </c>
      <c r="ID15" s="1157">
        <v>8</v>
      </c>
      <c r="IE15" s="1157">
        <v>8</v>
      </c>
      <c r="IF15" s="1157">
        <v>8</v>
      </c>
      <c r="IG15" s="1157">
        <v>8</v>
      </c>
      <c r="IH15" s="1157">
        <v>8</v>
      </c>
      <c r="II15" s="1157">
        <v>8</v>
      </c>
      <c r="IJ15" s="1157">
        <v>8</v>
      </c>
      <c r="IK15" s="1157">
        <v>8</v>
      </c>
      <c r="IL15" s="1157">
        <v>8</v>
      </c>
      <c r="IM15" s="1157">
        <v>8</v>
      </c>
      <c r="IN15" s="1157">
        <v>8</v>
      </c>
      <c r="IO15" s="1157">
        <v>8</v>
      </c>
      <c r="IP15" s="1157">
        <v>8</v>
      </c>
      <c r="IQ15" s="1157">
        <v>8</v>
      </c>
      <c r="IR15" s="1157">
        <v>8</v>
      </c>
      <c r="IS15" s="1157">
        <v>8</v>
      </c>
      <c r="IT15" s="1157">
        <v>8</v>
      </c>
      <c r="IU15" s="1157">
        <v>8</v>
      </c>
      <c r="IV15" s="1157">
        <v>8</v>
      </c>
      <c r="IW15" s="1157">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1129B8-AC99-CFBB-D72F-B410DF358A04}"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633" t="s">
        <v>14</v>
      </c>
    </row>
    <row s="1852" customFormat="1" customHeight="1" ht="22.5" hidden="1">
      <c r="A2" s="833"/>
      <c r="B2" s="1368">
        <v>1</v>
      </c>
      <c r="C2" s="1368"/>
      <c r="D2" s="1930" t="s">
        <v>689</v>
      </c>
      <c r="E2" s="1906"/>
      <c r="F2" s="1908" t="str">
        <f>IF(ROIV_INFO_NAME="","",ROIV_INFO_NAME)</f>
        <v>ПАО "ТГК-2"</v>
      </c>
      <c r="G2" s="1734" t="s">
        <v>22</v>
      </c>
      <c r="H2" s="1918"/>
      <c r="I2" s="1540"/>
      <c r="J2" s="820"/>
      <c r="K2" s="820"/>
      <c r="L2" s="230"/>
      <c r="M2" s="1537">
        <f>MERGEVALUE(F2)</f>
      </c>
      <c r="N2" s="1638"/>
      <c r="O2" s="1638"/>
      <c r="P2" s="1626" t="str">
        <f t="array" ref="P2:P2">IF(ISERROR(MATCH(MID(Q2,1,250),MID(note_ter,1,250),0)),"n","y")</f>
        <v>n</v>
      </c>
      <c r="Q2" s="1638"/>
      <c r="R2" s="1626" t="str">
        <f>G2&amp;"("&amp;L2&amp;")"</f>
        <v>()</v>
      </c>
      <c r="S2" s="1368"/>
      <c r="T2" s="1368"/>
      <c r="U2" s="422"/>
      <c r="V2" s="1368"/>
      <c r="W2" s="1368"/>
      <c r="X2" s="1368"/>
      <c r="Y2" s="835"/>
      <c r="Z2" s="835"/>
      <c r="AA2" s="629"/>
      <c r="AB2" s="629"/>
      <c r="AC2" s="629"/>
      <c r="AD2" s="629"/>
      <c r="AE2" s="629"/>
      <c r="AF2" s="629"/>
      <c r="AG2" s="629"/>
      <c r="AH2" s="629"/>
      <c r="AI2" s="629"/>
      <c r="AJ2" s="629"/>
      <c r="AK2" s="629"/>
      <c r="AL2" s="629"/>
      <c r="AM2" s="629"/>
      <c r="AN2" s="629"/>
      <c r="AO2" s="629"/>
      <c r="AP2" s="629"/>
      <c r="AQ2" s="629"/>
      <c r="AR2" s="629"/>
      <c r="AS2" s="629"/>
      <c r="AT2" s="629"/>
      <c r="AU2" s="629"/>
      <c r="AV2" s="629"/>
      <c r="AW2" s="629"/>
      <c r="AX2" s="629"/>
      <c r="AY2" s="629"/>
      <c r="AZ2" s="629"/>
      <c r="BA2" s="629"/>
      <c r="BB2" s="629"/>
      <c r="BC2" s="629"/>
      <c r="BD2" s="629"/>
      <c r="BE2" s="629"/>
      <c r="BF2" s="629"/>
      <c r="BG2" s="629"/>
      <c r="BH2" s="629"/>
      <c r="BI2" s="629"/>
      <c r="BJ2" s="629"/>
      <c r="BK2" s="629"/>
      <c r="BL2" s="629"/>
      <c r="BM2" s="629"/>
      <c r="BN2" s="629"/>
      <c r="BO2" s="629"/>
      <c r="BP2" s="629"/>
      <c r="BQ2" s="629"/>
      <c r="BR2" s="629"/>
      <c r="BS2" s="629"/>
      <c r="BT2" s="629"/>
      <c r="BU2" s="629"/>
      <c r="BV2" s="835"/>
      <c r="BW2" s="835"/>
      <c r="BX2" s="835"/>
      <c r="BY2" s="835"/>
      <c r="BZ2" s="835"/>
      <c r="CA2" s="835"/>
      <c r="CB2" s="835"/>
      <c r="CC2" s="835"/>
      <c r="CD2" s="835"/>
      <c r="CE2" s="835"/>
      <c r="IW2" s="626">
        <v>0</v>
      </c>
    </row>
    <row s="1644" customFormat="1" customHeight="1" ht="5.25" hidden="1">
      <c r="A3" s="1643"/>
      <c r="D3" s="1895"/>
      <c r="F3" s="250" t="s">
        <v>83</v>
      </c>
      <c r="G3" s="1737" t="s">
        <v>84</v>
      </c>
      <c r="H3" s="1895"/>
      <c r="I3" s="1895"/>
      <c r="J3" s="1895"/>
      <c r="K3" s="1895"/>
      <c r="L3" s="229" t="s">
        <v>85</v>
      </c>
      <c r="M3" s="250" t="s">
        <v>83</v>
      </c>
      <c r="N3" s="250"/>
      <c r="O3" s="250"/>
      <c r="P3" s="250"/>
      <c r="Q3" s="250"/>
      <c r="R3" s="250"/>
      <c r="S3" s="250"/>
      <c r="T3" s="250"/>
      <c r="U3" s="250"/>
      <c r="V3" s="250"/>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1638">
        <v>0</v>
      </c>
    </row>
    <row s="1821" customFormat="1" customHeight="1" ht="14.699999999999998">
      <c r="A4" s="1633"/>
      <c r="B4" s="1368"/>
      <c r="C4" s="1633"/>
      <c r="D4" s="1517"/>
      <c r="E4" s="1637"/>
      <c r="F4" s="1637"/>
      <c r="G4" s="1637"/>
      <c r="H4" s="1637"/>
      <c r="I4" s="1637"/>
      <c r="J4" s="1637"/>
      <c r="K4" s="1637"/>
      <c r="L4" s="1897"/>
      <c r="M4" s="250"/>
      <c r="N4" s="1626"/>
      <c r="O4" s="1626"/>
      <c r="P4" s="1626"/>
      <c r="Q4" s="1626"/>
      <c r="R4" s="1626"/>
      <c r="S4" s="227"/>
      <c r="T4" s="227"/>
      <c r="U4" s="227"/>
      <c r="V4" s="227"/>
      <c r="IW4" s="1611">
        <v>14</v>
      </c>
    </row>
    <row s="1821" customFormat="1" customHeight="1" ht="27.299999999999997">
      <c r="A5" s="1633"/>
      <c r="B5" s="1368"/>
      <c r="C5" s="1633"/>
      <c r="D5" s="151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1637"/>
      <c r="M5" s="250"/>
      <c r="N5" s="1626"/>
      <c r="O5" s="1626"/>
      <c r="P5" s="1626"/>
      <c r="Q5" s="1626"/>
      <c r="R5" s="1626"/>
      <c r="S5" s="227"/>
      <c r="T5" s="227"/>
      <c r="U5" s="227"/>
      <c r="V5" s="227"/>
      <c r="IW5" s="1611">
        <v>26</v>
      </c>
    </row>
    <row s="1821" customFormat="1" customHeight="1" ht="14.699999999999998">
      <c r="A6" s="1633"/>
      <c r="B6" s="1368"/>
      <c r="C6" s="1633"/>
      <c r="D6" s="1517"/>
      <c r="E6" s="1637"/>
      <c r="F6" s="618"/>
      <c r="G6" s="618"/>
      <c r="H6" s="618"/>
      <c r="I6" s="618"/>
      <c r="J6" s="618"/>
      <c r="K6" s="618"/>
      <c r="L6" s="1254"/>
      <c r="M6" s="1626"/>
      <c r="N6" s="1626"/>
      <c r="O6" s="1626"/>
      <c r="P6" s="1626"/>
      <c r="Q6" s="1626"/>
      <c r="R6" s="1626"/>
      <c r="S6" s="227"/>
      <c r="T6" s="227"/>
      <c r="U6" s="227"/>
      <c r="V6" s="227"/>
      <c r="IW6" s="1611">
        <v>14</v>
      </c>
    </row>
    <row s="1821" customFormat="1" customHeight="1" ht="14.699999999999998">
      <c r="A7" s="1633"/>
      <c r="B7" s="1368"/>
      <c r="C7" s="1633"/>
      <c r="D7" s="1517"/>
      <c r="E7" s="2103" t="s">
        <v>300</v>
      </c>
      <c r="F7" s="2104"/>
      <c r="G7" s="2104"/>
      <c r="H7" s="2104"/>
      <c r="I7" s="2104"/>
      <c r="J7" s="2104"/>
      <c r="K7" s="2104"/>
      <c r="L7" s="2476" t="s">
        <v>301</v>
      </c>
      <c r="M7" s="1626"/>
      <c r="N7" s="1626"/>
      <c r="O7" s="1626"/>
      <c r="P7" s="1626"/>
      <c r="Q7" s="1626"/>
      <c r="R7" s="1626"/>
      <c r="S7" s="227"/>
      <c r="T7" s="227"/>
      <c r="U7" s="227"/>
      <c r="V7" s="227"/>
      <c r="IW7" s="1611">
        <v>14</v>
      </c>
    </row>
    <row s="1821" customFormat="1" customHeight="1" ht="67.2">
      <c r="A8" s="1633"/>
      <c r="B8" s="1368"/>
      <c r="C8" s="1633"/>
      <c r="D8" s="1517"/>
      <c r="E8" s="2480" t="s">
        <v>88</v>
      </c>
      <c r="F8" s="2480" t="s">
        <v>1877</v>
      </c>
      <c r="G8" s="2482" t="s">
        <v>1878</v>
      </c>
      <c r="H8" s="2483"/>
      <c r="I8" s="2484"/>
      <c r="J8" s="2480" t="s">
        <v>1879</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1626"/>
      <c r="N8" s="1626"/>
      <c r="O8" s="1626"/>
      <c r="P8" s="1626"/>
      <c r="Q8" s="1626"/>
      <c r="R8" s="1626"/>
      <c r="S8" s="227"/>
      <c r="T8" s="227"/>
      <c r="U8" s="227"/>
      <c r="V8" s="227"/>
      <c r="IW8" s="1611">
        <v>64</v>
      </c>
    </row>
    <row s="1821" customFormat="1" customHeight="1" ht="29.25">
      <c r="A9" s="1633"/>
      <c r="B9" s="1368"/>
      <c r="C9" s="1633"/>
      <c r="D9" s="1517"/>
      <c r="E9" s="2481"/>
      <c r="F9" s="2481"/>
      <c r="G9" s="1896" t="s">
        <v>1873</v>
      </c>
      <c r="H9" s="1896" t="s">
        <v>1874</v>
      </c>
      <c r="I9" s="1896" t="s">
        <v>1875</v>
      </c>
      <c r="J9" s="2481"/>
      <c r="K9" s="2481"/>
      <c r="L9" s="2477"/>
      <c r="M9" s="1626"/>
      <c r="N9" s="1626"/>
      <c r="O9" s="1626"/>
      <c r="P9" s="1626"/>
      <c r="Q9" s="1626"/>
      <c r="R9" s="1626"/>
      <c r="S9" s="227"/>
      <c r="T9" s="227"/>
      <c r="U9" s="227"/>
      <c r="V9" s="227"/>
      <c r="IW9" s="1611">
        <v>28</v>
      </c>
    </row>
    <row s="1852" customFormat="1" customHeight="1" ht="1.05">
      <c r="A10" s="2101"/>
      <c r="B10" s="1368">
        <v>1</v>
      </c>
      <c r="C10" s="1368"/>
      <c r="D10" s="802"/>
      <c r="E10" s="797">
        <v>0</v>
      </c>
      <c r="F10" s="1893" t="str">
        <f>IF(ROIV_INFO_NAME="","",ROIV_INFO_NAME)</f>
        <v>ПАО "ТГК-2"</v>
      </c>
      <c r="G10" s="1735" t="s">
        <v>22</v>
      </c>
      <c r="H10" s="1905"/>
      <c r="I10" s="1905"/>
      <c r="J10" s="521"/>
      <c r="K10" s="521"/>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1638"/>
      <c r="O10" s="1638"/>
      <c r="P10" s="1626" t="str">
        <f t="array" ref="P10:P10">IF(ISERROR(MATCH(MID(Q10,1,250),MID(note_ter,1,250),0)),"n","y")</f>
        <v>n</v>
      </c>
      <c r="Q10" s="1638"/>
      <c r="R10" s="162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8"/>
      <c r="T10" s="1368"/>
      <c r="U10" s="422"/>
      <c r="V10" s="1368"/>
      <c r="W10" s="1368"/>
      <c r="X10" s="1368"/>
      <c r="Y10" s="835"/>
      <c r="Z10" s="835"/>
      <c r="AA10" s="629"/>
      <c r="AB10" s="629"/>
      <c r="AC10" s="629"/>
      <c r="AD10" s="629"/>
      <c r="AE10" s="629"/>
      <c r="AF10" s="629"/>
      <c r="AG10" s="629"/>
      <c r="AH10" s="629"/>
      <c r="AI10" s="629"/>
      <c r="AJ10" s="629"/>
      <c r="AK10" s="629"/>
      <c r="AL10" s="629"/>
      <c r="AM10" s="629"/>
      <c r="AN10" s="629"/>
      <c r="AO10" s="629"/>
      <c r="AP10" s="629"/>
      <c r="AQ10" s="629"/>
      <c r="AR10" s="629"/>
      <c r="AS10" s="629"/>
      <c r="AT10" s="629"/>
      <c r="AU10" s="629"/>
      <c r="AV10" s="629"/>
      <c r="AW10" s="629"/>
      <c r="AX10" s="629"/>
      <c r="AY10" s="629"/>
      <c r="AZ10" s="629"/>
      <c r="BA10" s="629"/>
      <c r="BB10" s="629"/>
      <c r="BC10" s="629"/>
      <c r="BD10" s="629"/>
      <c r="BE10" s="629"/>
      <c r="BF10" s="629"/>
      <c r="BG10" s="629"/>
      <c r="BH10" s="629"/>
      <c r="BI10" s="629"/>
      <c r="BJ10" s="629"/>
      <c r="BK10" s="629"/>
      <c r="BL10" s="629"/>
      <c r="BM10" s="629"/>
      <c r="BN10" s="629"/>
      <c r="BO10" s="629"/>
      <c r="BP10" s="629"/>
      <c r="BQ10" s="629"/>
      <c r="BR10" s="629"/>
      <c r="BS10" s="629"/>
      <c r="BT10" s="629"/>
      <c r="BU10" s="629"/>
      <c r="BV10" s="835"/>
      <c r="BW10" s="835"/>
      <c r="BX10" s="835"/>
      <c r="BY10" s="835"/>
      <c r="BZ10" s="835"/>
      <c r="CA10" s="835"/>
      <c r="CB10" s="835"/>
      <c r="CC10" s="835"/>
      <c r="CD10" s="835"/>
      <c r="CE10" s="835"/>
      <c r="IW10" s="626">
        <v>1</v>
      </c>
    </row>
    <row s="1852" customFormat="1" customHeight="1" ht="15.75">
      <c r="A11" s="2101"/>
      <c r="B11" s="1368"/>
      <c r="C11" s="414"/>
      <c r="D11" s="803"/>
      <c r="E11" s="423"/>
      <c r="F11" s="653" t="s">
        <v>1876</v>
      </c>
      <c r="G11" s="189"/>
      <c r="H11" s="189"/>
      <c r="I11" s="189"/>
      <c r="J11" s="189"/>
      <c r="K11" s="426"/>
      <c r="L11" s="2479"/>
      <c r="M11" s="1538"/>
      <c r="N11" s="1638"/>
      <c r="O11" s="1638"/>
      <c r="P11" s="1638"/>
      <c r="Q11" s="1626"/>
      <c r="R11" s="1638"/>
      <c r="S11" s="1368"/>
      <c r="T11" s="1368"/>
      <c r="U11" s="422"/>
      <c r="V11" s="1368"/>
      <c r="W11" s="1368"/>
      <c r="X11" s="1368"/>
      <c r="Y11" s="835"/>
      <c r="Z11" s="835"/>
      <c r="AA11" s="629"/>
      <c r="AB11" s="629"/>
      <c r="AC11" s="629"/>
      <c r="AD11" s="629"/>
      <c r="AE11" s="629"/>
      <c r="AF11" s="629"/>
      <c r="AG11" s="629"/>
      <c r="AH11" s="629"/>
      <c r="AI11" s="629"/>
      <c r="AJ11" s="629"/>
      <c r="AK11" s="629"/>
      <c r="AL11" s="629"/>
      <c r="AM11" s="629"/>
      <c r="AN11" s="629"/>
      <c r="AO11" s="629"/>
      <c r="AP11" s="629"/>
      <c r="AQ11" s="629"/>
      <c r="AR11" s="629"/>
      <c r="AS11" s="629"/>
      <c r="AT11" s="629"/>
      <c r="AU11" s="629"/>
      <c r="AV11" s="629"/>
      <c r="AW11" s="629"/>
      <c r="AX11" s="629"/>
      <c r="AY11" s="629"/>
      <c r="AZ11" s="629"/>
      <c r="BA11" s="629"/>
      <c r="BB11" s="629"/>
      <c r="BC11" s="629"/>
      <c r="BD11" s="629"/>
      <c r="BE11" s="629"/>
      <c r="BF11" s="629"/>
      <c r="BG11" s="629"/>
      <c r="BH11" s="629"/>
      <c r="BI11" s="629"/>
      <c r="BJ11" s="629"/>
      <c r="BK11" s="629"/>
      <c r="BL11" s="629"/>
      <c r="BM11" s="629"/>
      <c r="BN11" s="629"/>
      <c r="BO11" s="629"/>
      <c r="BP11" s="629"/>
      <c r="BQ11" s="629"/>
      <c r="BR11" s="629"/>
      <c r="BS11" s="629"/>
      <c r="BT11" s="629"/>
      <c r="BU11" s="629"/>
      <c r="BV11" s="835"/>
      <c r="BW11" s="835"/>
      <c r="BX11" s="835"/>
      <c r="BY11" s="835"/>
      <c r="BZ11" s="835"/>
      <c r="CA11" s="835"/>
      <c r="CB11" s="835"/>
      <c r="CC11" s="835"/>
      <c r="CD11" s="835"/>
      <c r="CE11" s="835"/>
      <c r="IW11" s="626">
        <v>15</v>
      </c>
    </row>
    <row s="1821" customFormat="1" customHeight="1" ht="22.049999999999997">
      <c r="A12" s="1633"/>
      <c r="B12" s="1368"/>
      <c r="C12" s="1633"/>
      <c r="D12" s="1635"/>
      <c r="E12" s="182"/>
      <c r="F12" s="182"/>
      <c r="G12" s="182"/>
      <c r="H12" s="182"/>
      <c r="I12" s="182"/>
      <c r="J12" s="182"/>
      <c r="K12" s="182"/>
      <c r="L12" s="182"/>
      <c r="M12" s="1626"/>
      <c r="N12" s="1626"/>
      <c r="O12" s="1626"/>
      <c r="P12" s="1626"/>
      <c r="Q12" s="1626"/>
      <c r="R12" s="1626"/>
      <c r="S12" s="227"/>
      <c r="T12" s="227"/>
      <c r="U12" s="227"/>
      <c r="V12" s="227"/>
      <c r="IW12" s="1611">
        <v>21</v>
      </c>
    </row>
    <row s="1821" customFormat="1" customHeight="1" ht="14.699999999999998">
      <c r="A13" s="1633"/>
      <c r="B13" s="1368"/>
      <c r="C13" s="1633"/>
      <c r="D13" s="1635"/>
      <c r="E13" s="1633"/>
      <c r="F13" s="1633"/>
      <c r="G13" s="1633"/>
      <c r="H13" s="1633"/>
      <c r="I13" s="1633"/>
      <c r="J13" s="1633"/>
      <c r="K13" s="1633"/>
      <c r="L13" s="1633"/>
      <c r="M13" s="1626"/>
      <c r="N13" s="1626"/>
      <c r="O13" s="1626"/>
      <c r="P13" s="1626"/>
      <c r="Q13" s="1626"/>
      <c r="R13" s="1626"/>
      <c r="S13" s="227"/>
      <c r="T13" s="227"/>
      <c r="U13" s="227"/>
      <c r="V13" s="227"/>
      <c r="IW13" s="1611">
        <v>14</v>
      </c>
    </row>
    <row s="1821" customFormat="1" customHeight="1" ht="1.05">
      <c r="A14" s="1633"/>
      <c r="B14" s="1368"/>
      <c r="C14" s="1633"/>
      <c r="D14" s="1635"/>
      <c r="E14" s="1633"/>
      <c r="F14" s="1633"/>
      <c r="G14" s="1633"/>
      <c r="H14" s="1633"/>
      <c r="I14" s="1633"/>
      <c r="J14" s="1633"/>
      <c r="K14" s="1633"/>
      <c r="L14" s="1633"/>
      <c r="M14" s="1626"/>
      <c r="N14" s="1626"/>
      <c r="O14" s="1626"/>
      <c r="P14" s="1626"/>
      <c r="Q14" s="1626"/>
      <c r="R14" s="1626"/>
      <c r="S14" s="227"/>
      <c r="T14" s="227"/>
      <c r="U14" s="227"/>
      <c r="V14" s="227"/>
      <c r="IW14" s="1611">
        <v>1</v>
      </c>
    </row>
    <row customHeight="1" ht="22.5" hidden="1">
      <c r="A15" s="1633" t="s">
        <v>82</v>
      </c>
      <c r="B15" s="1368">
        <v>0</v>
      </c>
      <c r="C15" s="1633">
        <v>0</v>
      </c>
      <c r="D15" s="1635">
        <v>3</v>
      </c>
      <c r="E15" s="1633">
        <v>6</v>
      </c>
      <c r="F15" s="1633">
        <v>27</v>
      </c>
      <c r="G15" s="1633">
        <v>16</v>
      </c>
      <c r="H15" s="1633">
        <v>12</v>
      </c>
      <c r="I15" s="1633">
        <v>32</v>
      </c>
      <c r="J15" s="1633">
        <v>41</v>
      </c>
      <c r="K15" s="1633">
        <v>41</v>
      </c>
      <c r="L15" s="1633">
        <v>89</v>
      </c>
      <c r="M15" s="1626">
        <v>3</v>
      </c>
      <c r="N15" s="1626">
        <v>8</v>
      </c>
      <c r="O15" s="1626">
        <v>8</v>
      </c>
      <c r="P15" s="1626">
        <v>8</v>
      </c>
      <c r="Q15" s="1626">
        <v>25</v>
      </c>
      <c r="R15" s="1626">
        <v>14</v>
      </c>
      <c r="S15" s="227">
        <v>8</v>
      </c>
      <c r="T15" s="227">
        <v>8</v>
      </c>
      <c r="U15" s="227">
        <v>8</v>
      </c>
      <c r="V15" s="227">
        <v>8</v>
      </c>
      <c r="W15" s="1633">
        <v>8</v>
      </c>
      <c r="X15" s="1633">
        <v>8</v>
      </c>
      <c r="Y15" s="1633">
        <v>8</v>
      </c>
      <c r="Z15" s="1633">
        <v>8</v>
      </c>
      <c r="AA15" s="1633">
        <v>8</v>
      </c>
      <c r="AB15" s="1633">
        <v>8</v>
      </c>
      <c r="AC15" s="1633">
        <v>8</v>
      </c>
      <c r="AD15" s="1633">
        <v>8</v>
      </c>
      <c r="AE15" s="1633">
        <v>8</v>
      </c>
      <c r="AF15" s="1633">
        <v>8</v>
      </c>
      <c r="AG15" s="1633">
        <v>8</v>
      </c>
      <c r="AH15" s="1633">
        <v>8</v>
      </c>
      <c r="AI15" s="1633">
        <v>8</v>
      </c>
      <c r="AJ15" s="1633">
        <v>8</v>
      </c>
      <c r="AK15" s="1633">
        <v>8</v>
      </c>
      <c r="AL15" s="1633">
        <v>8</v>
      </c>
      <c r="AM15" s="1633">
        <v>8</v>
      </c>
      <c r="AN15" s="1633">
        <v>8</v>
      </c>
      <c r="AO15" s="1633">
        <v>8</v>
      </c>
      <c r="AP15" s="1633">
        <v>8</v>
      </c>
      <c r="AQ15" s="1633">
        <v>8</v>
      </c>
      <c r="AR15" s="1633">
        <v>8</v>
      </c>
      <c r="AS15" s="1633">
        <v>8</v>
      </c>
      <c r="AT15" s="1633">
        <v>8</v>
      </c>
      <c r="AU15" s="1633">
        <v>8</v>
      </c>
      <c r="AV15" s="1633">
        <v>8</v>
      </c>
      <c r="AW15" s="1633">
        <v>8</v>
      </c>
      <c r="AX15" s="1633">
        <v>8</v>
      </c>
      <c r="AY15" s="1633">
        <v>8</v>
      </c>
      <c r="AZ15" s="1633">
        <v>8</v>
      </c>
      <c r="BA15" s="1633">
        <v>8</v>
      </c>
      <c r="BB15" s="1633">
        <v>8</v>
      </c>
      <c r="BC15" s="1633">
        <v>8</v>
      </c>
      <c r="BD15" s="1633">
        <v>8</v>
      </c>
      <c r="BE15" s="1633">
        <v>8</v>
      </c>
      <c r="BF15" s="1633">
        <v>8</v>
      </c>
      <c r="BG15" s="1633">
        <v>8</v>
      </c>
      <c r="BH15" s="1633">
        <v>8</v>
      </c>
      <c r="BI15" s="1633">
        <v>8</v>
      </c>
      <c r="BJ15" s="1633">
        <v>8</v>
      </c>
      <c r="BK15" s="1633">
        <v>8</v>
      </c>
      <c r="BL15" s="1633">
        <v>8</v>
      </c>
      <c r="BM15" s="1633">
        <v>8</v>
      </c>
      <c r="BN15" s="1633">
        <v>8</v>
      </c>
      <c r="BO15" s="1633">
        <v>8</v>
      </c>
      <c r="BP15" s="1633">
        <v>8</v>
      </c>
      <c r="BQ15" s="1633">
        <v>8</v>
      </c>
      <c r="BR15" s="1633">
        <v>8</v>
      </c>
      <c r="BS15" s="1633">
        <v>8</v>
      </c>
      <c r="BT15" s="1633">
        <v>8</v>
      </c>
      <c r="BU15" s="1633">
        <v>8</v>
      </c>
      <c r="BV15" s="1633">
        <v>8</v>
      </c>
      <c r="BW15" s="1633">
        <v>8</v>
      </c>
      <c r="BX15" s="1633">
        <v>8</v>
      </c>
      <c r="BY15" s="1633">
        <v>8</v>
      </c>
      <c r="BZ15" s="1633">
        <v>8</v>
      </c>
      <c r="CA15" s="1633">
        <v>8</v>
      </c>
      <c r="CB15" s="1633">
        <v>8</v>
      </c>
      <c r="CC15" s="1633">
        <v>8</v>
      </c>
      <c r="CD15" s="1633">
        <v>8</v>
      </c>
      <c r="CE15" s="1633">
        <v>8</v>
      </c>
      <c r="CF15" s="1633">
        <v>8</v>
      </c>
      <c r="CG15" s="1633">
        <v>8</v>
      </c>
      <c r="CH15" s="1633">
        <v>8</v>
      </c>
      <c r="CI15" s="1633">
        <v>8</v>
      </c>
      <c r="CJ15" s="1633">
        <v>8</v>
      </c>
      <c r="CK15" s="1633">
        <v>8</v>
      </c>
      <c r="CL15" s="1633">
        <v>8</v>
      </c>
      <c r="CM15" s="1633">
        <v>8</v>
      </c>
      <c r="CN15" s="1633">
        <v>8</v>
      </c>
      <c r="CO15" s="1633">
        <v>8</v>
      </c>
      <c r="CP15" s="1633">
        <v>8</v>
      </c>
      <c r="CQ15" s="1633">
        <v>8</v>
      </c>
      <c r="CR15" s="1633">
        <v>8</v>
      </c>
      <c r="CS15" s="1633">
        <v>8</v>
      </c>
      <c r="CT15" s="1633">
        <v>8</v>
      </c>
      <c r="CU15" s="1633">
        <v>8</v>
      </c>
      <c r="CV15" s="1633">
        <v>8</v>
      </c>
      <c r="CW15" s="1633">
        <v>8</v>
      </c>
      <c r="CX15" s="1633">
        <v>8</v>
      </c>
      <c r="CY15" s="1633">
        <v>8</v>
      </c>
      <c r="CZ15" s="1633">
        <v>8</v>
      </c>
      <c r="DA15" s="1633">
        <v>8</v>
      </c>
      <c r="DB15" s="1633">
        <v>8</v>
      </c>
      <c r="DC15" s="1633">
        <v>8</v>
      </c>
      <c r="DD15" s="1633">
        <v>8</v>
      </c>
      <c r="DE15" s="1633">
        <v>8</v>
      </c>
      <c r="DF15" s="1633">
        <v>8</v>
      </c>
      <c r="DG15" s="1633">
        <v>8</v>
      </c>
      <c r="DH15" s="1633">
        <v>8</v>
      </c>
      <c r="DI15" s="1633">
        <v>8</v>
      </c>
      <c r="DJ15" s="1633">
        <v>8</v>
      </c>
      <c r="DK15" s="1633">
        <v>8</v>
      </c>
      <c r="DL15" s="1633">
        <v>8</v>
      </c>
      <c r="DM15" s="1633">
        <v>8</v>
      </c>
      <c r="DN15" s="1633">
        <v>8</v>
      </c>
      <c r="DO15" s="1633">
        <v>8</v>
      </c>
      <c r="DP15" s="1633">
        <v>8</v>
      </c>
      <c r="DQ15" s="1633">
        <v>8</v>
      </c>
      <c r="DR15" s="1633">
        <v>8</v>
      </c>
      <c r="DS15" s="1633">
        <v>8</v>
      </c>
      <c r="DT15" s="1633">
        <v>8</v>
      </c>
      <c r="DU15" s="1633">
        <v>8</v>
      </c>
      <c r="DV15" s="1633">
        <v>8</v>
      </c>
      <c r="DW15" s="1633">
        <v>8</v>
      </c>
      <c r="DX15" s="1633">
        <v>8</v>
      </c>
      <c r="DY15" s="1633">
        <v>8</v>
      </c>
      <c r="DZ15" s="1633">
        <v>8</v>
      </c>
      <c r="EA15" s="1633">
        <v>8</v>
      </c>
      <c r="EB15" s="1633">
        <v>8</v>
      </c>
      <c r="EC15" s="1633">
        <v>8</v>
      </c>
      <c r="ED15" s="1633">
        <v>8</v>
      </c>
      <c r="EE15" s="1633">
        <v>8</v>
      </c>
      <c r="EF15" s="1633">
        <v>8</v>
      </c>
      <c r="EG15" s="1633">
        <v>8</v>
      </c>
      <c r="EH15" s="1633">
        <v>8</v>
      </c>
      <c r="EI15" s="1633">
        <v>8</v>
      </c>
      <c r="EJ15" s="1633">
        <v>8</v>
      </c>
      <c r="EK15" s="1633">
        <v>8</v>
      </c>
      <c r="EL15" s="1633">
        <v>8</v>
      </c>
      <c r="EM15" s="1633">
        <v>8</v>
      </c>
      <c r="EN15" s="1633">
        <v>8</v>
      </c>
      <c r="EO15" s="1633">
        <v>8</v>
      </c>
      <c r="EP15" s="1633">
        <v>8</v>
      </c>
      <c r="EQ15" s="1633">
        <v>8</v>
      </c>
      <c r="ER15" s="1633">
        <v>8</v>
      </c>
      <c r="ES15" s="1633">
        <v>8</v>
      </c>
      <c r="ET15" s="1633">
        <v>8</v>
      </c>
      <c r="EU15" s="1633">
        <v>8</v>
      </c>
      <c r="EV15" s="1633">
        <v>8</v>
      </c>
      <c r="EW15" s="1633">
        <v>8</v>
      </c>
      <c r="EX15" s="1633">
        <v>8</v>
      </c>
      <c r="EY15" s="1633">
        <v>8</v>
      </c>
      <c r="EZ15" s="1633">
        <v>8</v>
      </c>
      <c r="FA15" s="1633">
        <v>8</v>
      </c>
      <c r="FB15" s="1633">
        <v>8</v>
      </c>
      <c r="FC15" s="1633">
        <v>8</v>
      </c>
      <c r="FD15" s="1633">
        <v>8</v>
      </c>
      <c r="FE15" s="1633">
        <v>8</v>
      </c>
      <c r="FF15" s="1633">
        <v>8</v>
      </c>
      <c r="FG15" s="1633">
        <v>8</v>
      </c>
      <c r="FH15" s="1633">
        <v>8</v>
      </c>
      <c r="FI15" s="1633">
        <v>8</v>
      </c>
      <c r="FJ15" s="1633">
        <v>8</v>
      </c>
      <c r="FK15" s="1633">
        <v>8</v>
      </c>
      <c r="FL15" s="1633">
        <v>8</v>
      </c>
      <c r="FM15" s="1633">
        <v>8</v>
      </c>
      <c r="FN15" s="1633">
        <v>8</v>
      </c>
      <c r="FO15" s="1633">
        <v>8</v>
      </c>
      <c r="FP15" s="1633">
        <v>8</v>
      </c>
      <c r="FQ15" s="1633">
        <v>8</v>
      </c>
      <c r="FR15" s="1633">
        <v>8</v>
      </c>
      <c r="FS15" s="1633">
        <v>8</v>
      </c>
      <c r="FT15" s="1633">
        <v>8</v>
      </c>
      <c r="FU15" s="1633">
        <v>8</v>
      </c>
      <c r="FV15" s="1633">
        <v>8</v>
      </c>
      <c r="FW15" s="1633">
        <v>8</v>
      </c>
      <c r="FX15" s="1633">
        <v>8</v>
      </c>
      <c r="FY15" s="1633">
        <v>8</v>
      </c>
      <c r="FZ15" s="1633">
        <v>8</v>
      </c>
      <c r="GA15" s="1633">
        <v>8</v>
      </c>
      <c r="GB15" s="1633">
        <v>8</v>
      </c>
      <c r="GC15" s="1633">
        <v>8</v>
      </c>
      <c r="GD15" s="1633">
        <v>8</v>
      </c>
      <c r="GE15" s="1633">
        <v>8</v>
      </c>
      <c r="GF15" s="1633">
        <v>8</v>
      </c>
      <c r="GG15" s="1633">
        <v>8</v>
      </c>
      <c r="GH15" s="1633">
        <v>8</v>
      </c>
      <c r="GI15" s="1633">
        <v>8</v>
      </c>
      <c r="GJ15" s="1633">
        <v>8</v>
      </c>
      <c r="GK15" s="1633">
        <v>8</v>
      </c>
      <c r="GL15" s="1633">
        <v>8</v>
      </c>
      <c r="GM15" s="1633">
        <v>8</v>
      </c>
      <c r="GN15" s="1633">
        <v>8</v>
      </c>
      <c r="GO15" s="1633">
        <v>8</v>
      </c>
      <c r="GP15" s="1633">
        <v>8</v>
      </c>
      <c r="GQ15" s="1633">
        <v>8</v>
      </c>
      <c r="GR15" s="1633">
        <v>8</v>
      </c>
      <c r="GS15" s="1633">
        <v>8</v>
      </c>
      <c r="GT15" s="1633">
        <v>8</v>
      </c>
      <c r="GU15" s="1633">
        <v>8</v>
      </c>
      <c r="GV15" s="1633">
        <v>8</v>
      </c>
      <c r="GW15" s="1633">
        <v>8</v>
      </c>
      <c r="GX15" s="1633">
        <v>8</v>
      </c>
      <c r="GY15" s="1633">
        <v>8</v>
      </c>
      <c r="GZ15" s="1633">
        <v>8</v>
      </c>
      <c r="HA15" s="1633">
        <v>8</v>
      </c>
      <c r="HB15" s="1633">
        <v>8</v>
      </c>
      <c r="HC15" s="1633">
        <v>8</v>
      </c>
      <c r="HD15" s="1633">
        <v>8</v>
      </c>
      <c r="HE15" s="1633">
        <v>8</v>
      </c>
      <c r="HF15" s="1633">
        <v>8</v>
      </c>
      <c r="HG15" s="1633">
        <v>8</v>
      </c>
      <c r="HH15" s="1633">
        <v>8</v>
      </c>
      <c r="HI15" s="1633">
        <v>8</v>
      </c>
      <c r="HJ15" s="1633">
        <v>8</v>
      </c>
      <c r="HK15" s="1633">
        <v>8</v>
      </c>
      <c r="HL15" s="1633">
        <v>8</v>
      </c>
      <c r="HM15" s="1633">
        <v>8</v>
      </c>
      <c r="HN15" s="1633">
        <v>8</v>
      </c>
      <c r="HO15" s="1633">
        <v>8</v>
      </c>
      <c r="HP15" s="1633">
        <v>8</v>
      </c>
      <c r="HQ15" s="1633">
        <v>8</v>
      </c>
      <c r="HR15" s="1633">
        <v>8</v>
      </c>
      <c r="HS15" s="1633">
        <v>8</v>
      </c>
      <c r="HT15" s="1633">
        <v>8</v>
      </c>
      <c r="HU15" s="1633">
        <v>8</v>
      </c>
      <c r="HV15" s="1633">
        <v>8</v>
      </c>
      <c r="HW15" s="1633">
        <v>8</v>
      </c>
      <c r="HX15" s="1633">
        <v>8</v>
      </c>
      <c r="HY15" s="1633">
        <v>8</v>
      </c>
      <c r="HZ15" s="1633">
        <v>8</v>
      </c>
      <c r="IA15" s="1633">
        <v>8</v>
      </c>
      <c r="IB15" s="1633">
        <v>8</v>
      </c>
      <c r="IC15" s="1633">
        <v>8</v>
      </c>
      <c r="ID15" s="1633">
        <v>8</v>
      </c>
      <c r="IE15" s="1633">
        <v>8</v>
      </c>
      <c r="IF15" s="1633">
        <v>8</v>
      </c>
      <c r="IG15" s="1633">
        <v>8</v>
      </c>
      <c r="IH15" s="1633">
        <v>8</v>
      </c>
      <c r="II15" s="1633">
        <v>8</v>
      </c>
      <c r="IJ15" s="1633">
        <v>8</v>
      </c>
      <c r="IK15" s="1633">
        <v>8</v>
      </c>
      <c r="IL15" s="1633">
        <v>8</v>
      </c>
      <c r="IM15" s="1633">
        <v>8</v>
      </c>
      <c r="IN15" s="1633">
        <v>8</v>
      </c>
      <c r="IO15" s="1633">
        <v>8</v>
      </c>
      <c r="IP15" s="1633">
        <v>8</v>
      </c>
      <c r="IQ15" s="1633">
        <v>8</v>
      </c>
      <c r="IR15" s="1633">
        <v>8</v>
      </c>
      <c r="IS15" s="1633">
        <v>8</v>
      </c>
      <c r="IT15" s="1633">
        <v>8</v>
      </c>
      <c r="IU15" s="1633">
        <v>8</v>
      </c>
      <c r="IV15" s="1633">
        <v>8</v>
      </c>
      <c r="IW15" s="1633">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24101C-6D09-2CF6-A849-704698D2F08A}"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29.00390625" customWidth="1"/>
    <col min="8" max="8" style="1637" width="25.00390625" customWidth="1"/>
    <col min="9" max="9" style="1637" width="5.00390625" customWidth="1"/>
    <col min="10" max="10" style="1637" width="6.00390625" customWidth="1"/>
    <col min="11" max="11" style="1637" width="41.00390625" customWidth="1"/>
    <col min="12" max="12" style="1637" width="42.00390625" customWidth="1"/>
    <col min="13" max="13" style="1637" width="41.00390625" customWidth="1"/>
    <col min="14" max="14" style="1637" width="89.00390625" customWidth="1"/>
    <col min="15" max="15" style="1626" width="3.00390625" customWidth="1"/>
    <col min="16" max="16" style="1626" width="8.00390625" customWidth="1"/>
    <col min="17" max="17" style="1637" width="9.140625" hidden="1"/>
  </cols>
  <sheetData>
    <row customHeight="1" ht="22.5" hidden="1">
      <c r="Q1" s="1157" t="s">
        <v>14</v>
      </c>
    </row>
    <row s="1852" customFormat="1" customHeight="1" ht="22.5" hidden="1">
      <c r="A2" s="498"/>
      <c r="B2" s="1162">
        <v>1</v>
      </c>
      <c r="C2" s="1162"/>
      <c r="D2" s="1930" t="s">
        <v>689</v>
      </c>
      <c r="E2" s="2129">
        <v>1</v>
      </c>
      <c r="F2" s="2305" t="str">
        <f>IF(region_name="","",region_name)</f>
        <v>Вологодская область</v>
      </c>
      <c r="G2" s="2485"/>
      <c r="H2" s="2486"/>
      <c r="I2" s="476"/>
      <c r="J2" s="1912">
        <v>1</v>
      </c>
      <c r="K2" s="1914"/>
      <c r="L2" s="1914"/>
      <c r="M2" s="1914"/>
      <c r="N2" s="494"/>
      <c r="O2" s="1537"/>
      <c r="P2" s="513"/>
      <c r="Q2" s="425">
        <v>0</v>
      </c>
    </row>
    <row s="1852" customFormat="1" customHeight="1" ht="22.5" hidden="1">
      <c r="A3" s="833"/>
      <c r="B3" s="1162"/>
      <c r="C3" s="1162"/>
      <c r="D3" s="803"/>
      <c r="E3" s="2129"/>
      <c r="F3" s="2305"/>
      <c r="G3" s="2485"/>
      <c r="H3" s="2487"/>
      <c r="I3" s="423"/>
      <c r="J3" s="1502"/>
      <c r="K3" s="1502" t="s">
        <v>1880</v>
      </c>
      <c r="L3" s="1545"/>
      <c r="M3" s="1922"/>
      <c r="N3" s="1915"/>
      <c r="O3" s="1537"/>
      <c r="P3" s="513"/>
      <c r="Q3" s="425">
        <v>0</v>
      </c>
    </row>
    <row s="1644" customFormat="1" customHeight="1" ht="5.25" hidden="1">
      <c r="A4" s="498"/>
      <c r="D4" s="496"/>
      <c r="F4" s="249" t="s">
        <v>83</v>
      </c>
      <c r="G4" s="496" t="s">
        <v>84</v>
      </c>
      <c r="H4" s="496"/>
      <c r="I4" s="1925"/>
      <c r="J4" s="1546"/>
      <c r="K4" s="1913"/>
      <c r="L4" s="1913"/>
      <c r="M4" s="1913"/>
      <c r="N4" s="1909"/>
      <c r="O4" s="249" t="s">
        <v>83</v>
      </c>
      <c r="P4" s="249"/>
      <c r="Q4" s="513">
        <v>0</v>
      </c>
    </row>
    <row s="1852" customFormat="1" customHeight="1" ht="22.5" hidden="1">
      <c r="A5" s="1643"/>
      <c r="B5" s="1368">
        <v>1</v>
      </c>
      <c r="C5" s="1368"/>
      <c r="D5" s="803"/>
      <c r="E5" s="1915"/>
      <c r="F5" s="1915"/>
      <c r="G5" s="1915"/>
      <c r="H5" s="1926"/>
      <c r="I5" s="1931" t="s">
        <v>689</v>
      </c>
      <c r="J5" s="1924">
        <v>1</v>
      </c>
      <c r="K5" s="1914"/>
      <c r="L5" s="1914"/>
      <c r="M5" s="1914"/>
      <c r="N5" s="494"/>
      <c r="O5" s="1537"/>
      <c r="P5" s="1638"/>
      <c r="Q5" s="626">
        <v>0</v>
      </c>
    </row>
    <row s="1821" customFormat="1" customHeight="1" ht="14.699999999999998">
      <c r="A6" s="1157"/>
      <c r="B6" s="1162"/>
      <c r="C6" s="1157"/>
      <c r="D6" s="1497"/>
      <c r="E6" s="511"/>
      <c r="F6" s="511"/>
      <c r="G6" s="511"/>
      <c r="H6" s="511"/>
      <c r="I6" s="511"/>
      <c r="J6" s="511"/>
      <c r="K6" s="511"/>
      <c r="L6" s="511"/>
      <c r="M6" s="511"/>
      <c r="N6" s="1637"/>
      <c r="O6" s="249"/>
      <c r="P6" s="502"/>
      <c r="Q6" s="509">
        <v>14</v>
      </c>
    </row>
    <row s="1821" customFormat="1" customHeight="1" ht="27.299999999999997">
      <c r="A7" s="1157"/>
      <c r="B7" s="1162"/>
      <c r="C7" s="1157"/>
      <c r="D7" s="1497"/>
      <c r="E7" s="249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2"/>
      <c r="G7" s="2492"/>
      <c r="H7" s="2492"/>
      <c r="I7" s="2492"/>
      <c r="J7" s="2492"/>
      <c r="K7" s="2492"/>
      <c r="L7" s="2492"/>
      <c r="M7" s="2492"/>
      <c r="N7" s="1254"/>
      <c r="O7" s="249"/>
      <c r="P7" s="502"/>
      <c r="Q7" s="509">
        <v>26</v>
      </c>
    </row>
    <row s="1821" customFormat="1" customHeight="1" ht="14.699999999999998">
      <c r="A8" s="1157"/>
      <c r="B8" s="1162"/>
      <c r="C8" s="1157"/>
      <c r="D8" s="1497"/>
      <c r="E8" s="511"/>
      <c r="F8" s="169"/>
      <c r="G8" s="169"/>
      <c r="H8" s="169"/>
      <c r="I8" s="169"/>
      <c r="J8" s="169"/>
      <c r="K8" s="169"/>
      <c r="L8" s="169"/>
      <c r="M8" s="169"/>
      <c r="N8" s="618"/>
      <c r="O8" s="502"/>
      <c r="P8" s="502"/>
      <c r="Q8" s="509">
        <v>14</v>
      </c>
    </row>
    <row s="1548" customFormat="1" customHeight="1" ht="14.25" hidden="1">
      <c r="A9" s="1470"/>
      <c r="B9" s="1480"/>
      <c r="C9" s="1470"/>
      <c r="D9" s="1497"/>
      <c r="E9" s="1916"/>
      <c r="F9" s="1916"/>
      <c r="G9" s="1916"/>
      <c r="H9" s="1916"/>
      <c r="I9" s="2495"/>
      <c r="J9" s="2495"/>
      <c r="K9" s="2495"/>
      <c r="L9" s="1916"/>
      <c r="M9" s="1917"/>
      <c r="O9" s="1547"/>
      <c r="P9" s="1547"/>
      <c r="Q9" s="1548">
        <v>0</v>
      </c>
    </row>
    <row s="1821" customFormat="1" customHeight="1" ht="14.699999999999998">
      <c r="A10" s="1157"/>
      <c r="B10" s="1162"/>
      <c r="C10" s="1157"/>
      <c r="D10" s="1497"/>
      <c r="E10" s="2129" t="s">
        <v>300</v>
      </c>
      <c r="F10" s="2129"/>
      <c r="G10" s="2129"/>
      <c r="H10" s="2129"/>
      <c r="I10" s="2129"/>
      <c r="J10" s="2129"/>
      <c r="K10" s="2129"/>
      <c r="L10" s="2129"/>
      <c r="M10" s="2103"/>
      <c r="N10" s="2480" t="s">
        <v>301</v>
      </c>
      <c r="O10" s="502"/>
      <c r="P10" s="502"/>
      <c r="Q10" s="509">
        <v>14</v>
      </c>
    </row>
    <row s="1821" customFormat="1" customHeight="1" ht="44.25">
      <c r="A11" s="1633"/>
      <c r="B11" s="1368"/>
      <c r="C11" s="1633"/>
      <c r="D11" s="1517"/>
      <c r="E11" s="2494" t="s">
        <v>88</v>
      </c>
      <c r="F11" s="2494" t="s">
        <v>304</v>
      </c>
      <c r="G11" s="2494" t="s">
        <v>1881</v>
      </c>
      <c r="H11" s="2494"/>
      <c r="I11" s="2494" t="s">
        <v>1882</v>
      </c>
      <c r="J11" s="2494"/>
      <c r="K11" s="2494"/>
      <c r="L11" s="2494" t="s">
        <v>1883</v>
      </c>
      <c r="M11" s="2482" t="s">
        <v>1884</v>
      </c>
      <c r="N11" s="2493"/>
      <c r="O11" s="1626"/>
      <c r="P11" s="1626"/>
      <c r="Q11" s="1611">
        <v>42</v>
      </c>
    </row>
    <row s="1821" customFormat="1" customHeight="1" ht="29.25">
      <c r="A12" s="1157"/>
      <c r="B12" s="1162"/>
      <c r="C12" s="1157"/>
      <c r="D12" s="1497"/>
      <c r="E12" s="2480"/>
      <c r="F12" s="2494"/>
      <c r="G12" s="1911" t="s">
        <v>1885</v>
      </c>
      <c r="H12" s="1911" t="s">
        <v>308</v>
      </c>
      <c r="I12" s="2494"/>
      <c r="J12" s="2494"/>
      <c r="K12" s="2494"/>
      <c r="L12" s="2494"/>
      <c r="M12" s="2482"/>
      <c r="N12" s="2481"/>
      <c r="O12" s="502"/>
      <c r="P12" s="502"/>
      <c r="Q12" s="509">
        <v>28</v>
      </c>
    </row>
    <row s="1852" customFormat="1" customHeight="1" ht="23.25">
      <c r="A13" s="2101">
        <v>26379339</v>
      </c>
      <c r="B13" s="1162">
        <v>1</v>
      </c>
      <c r="C13" s="1162"/>
      <c r="D13" s="803"/>
      <c r="E13" s="2129">
        <v>1</v>
      </c>
      <c r="F13" s="2488" t="str">
        <f>IF(region_name="","",region_name)</f>
        <v>Вологодская область</v>
      </c>
      <c r="G13" s="2489"/>
      <c r="H13" s="2496"/>
      <c r="I13" s="476"/>
      <c r="J13" s="1907">
        <v>1</v>
      </c>
      <c r="K13" s="1920"/>
      <c r="L13" s="1921"/>
      <c r="M13" s="1921"/>
      <c r="N13" s="2490" t="s">
        <v>1886</v>
      </c>
      <c r="O13" s="1537"/>
      <c r="P13" s="513"/>
      <c r="Q13" s="425">
        <v>22</v>
      </c>
    </row>
    <row s="1852" customFormat="1" customHeight="1" ht="23.25">
      <c r="A14" s="2101"/>
      <c r="B14" s="1162"/>
      <c r="C14" s="1162"/>
      <c r="D14" s="803"/>
      <c r="E14" s="2129"/>
      <c r="F14" s="2488"/>
      <c r="G14" s="2489"/>
      <c r="H14" s="2497"/>
      <c r="I14" s="423"/>
      <c r="J14" s="1502"/>
      <c r="K14" s="1502" t="s">
        <v>1880</v>
      </c>
      <c r="L14" s="1545"/>
      <c r="M14" s="1545"/>
      <c r="N14" s="2491"/>
      <c r="O14" s="1537"/>
      <c r="P14" s="513"/>
      <c r="Q14" s="425">
        <v>22</v>
      </c>
    </row>
    <row s="1852" customFormat="1" customHeight="1" ht="23.25">
      <c r="A15" s="2101"/>
      <c r="B15" s="1162"/>
      <c r="C15" s="414"/>
      <c r="D15" s="803"/>
      <c r="E15" s="423"/>
      <c r="F15" s="1502" t="s">
        <v>1872</v>
      </c>
      <c r="G15" s="1544"/>
      <c r="H15" s="1544"/>
      <c r="I15" s="189"/>
      <c r="J15" s="189"/>
      <c r="K15" s="189"/>
      <c r="L15" s="189"/>
      <c r="M15" s="189"/>
      <c r="N15" s="2491"/>
      <c r="O15" s="1538"/>
      <c r="P15" s="513"/>
      <c r="Q15" s="425">
        <v>22</v>
      </c>
    </row>
    <row s="1821" customFormat="1" customHeight="1" ht="22.049999999999997">
      <c r="A16" s="1157"/>
      <c r="B16" s="1162"/>
      <c r="C16" s="1157"/>
      <c r="D16" s="453"/>
      <c r="E16" s="182"/>
      <c r="F16" s="182"/>
      <c r="G16" s="182"/>
      <c r="H16" s="182"/>
      <c r="I16" s="182"/>
      <c r="J16" s="182"/>
      <c r="K16" s="182"/>
      <c r="L16" s="182"/>
      <c r="M16" s="511"/>
      <c r="N16" s="1637"/>
      <c r="O16" s="502"/>
      <c r="P16" s="502"/>
      <c r="Q16" s="509">
        <v>21</v>
      </c>
    </row>
    <row s="1821" customFormat="1" customHeight="1" ht="14.699999999999998">
      <c r="A17" s="1157"/>
      <c r="B17" s="1162"/>
      <c r="C17" s="1157"/>
      <c r="D17" s="453"/>
      <c r="E17" s="1157"/>
      <c r="F17" s="1157"/>
      <c r="G17" s="1157"/>
      <c r="H17" s="1157"/>
      <c r="I17" s="1157"/>
      <c r="J17" s="1157"/>
      <c r="K17" s="1157"/>
      <c r="L17" s="1157"/>
      <c r="M17" s="1157"/>
      <c r="N17" s="1633"/>
      <c r="O17" s="502"/>
      <c r="P17" s="502"/>
      <c r="Q17" s="509">
        <v>14</v>
      </c>
    </row>
    <row s="1821" customFormat="1" customHeight="1" ht="1.05">
      <c r="A18" s="1157"/>
      <c r="B18" s="1162"/>
      <c r="C18" s="1157"/>
      <c r="D18" s="453"/>
      <c r="E18" s="1157"/>
      <c r="F18" s="1157"/>
      <c r="G18" s="1157"/>
      <c r="H18" s="1157"/>
      <c r="I18" s="1157"/>
      <c r="J18" s="1157"/>
      <c r="K18" s="1157"/>
      <c r="L18" s="1157"/>
      <c r="M18" s="1157"/>
      <c r="N18" s="1633"/>
      <c r="O18" s="502"/>
      <c r="P18" s="502"/>
      <c r="Q18" s="509">
        <v>1</v>
      </c>
    </row>
    <row customHeight="1" ht="22.5" hidden="1">
      <c r="A19" s="1157" t="s">
        <v>82</v>
      </c>
      <c r="B19" s="1162">
        <v>0</v>
      </c>
      <c r="C19" s="1157">
        <v>0</v>
      </c>
      <c r="D19" s="453">
        <v>3</v>
      </c>
      <c r="E19" s="1157">
        <v>6</v>
      </c>
      <c r="F19" s="1157">
        <v>27</v>
      </c>
      <c r="G19" s="1157">
        <v>29</v>
      </c>
      <c r="H19" s="1157">
        <v>25</v>
      </c>
      <c r="I19" s="1157">
        <v>5</v>
      </c>
      <c r="J19" s="1157">
        <v>6</v>
      </c>
      <c r="K19" s="1157">
        <v>41</v>
      </c>
      <c r="L19" s="1157">
        <v>42</v>
      </c>
      <c r="M19" s="1157">
        <v>41</v>
      </c>
      <c r="N19" s="1633">
        <v>89</v>
      </c>
      <c r="O19" s="502">
        <v>3</v>
      </c>
      <c r="P19" s="502">
        <v>8</v>
      </c>
      <c r="Q19" s="1157">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E51E02-49E8-B155-0A4F-94193319766D}"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0" width="9.140625" hidden="1"/>
    <col min="2" max="2" style="1825" width="9.140625" hidden="1"/>
    <col min="3" max="3" style="122" width="3.00390625" customWidth="1"/>
    <col min="4" max="4" style="1825" width="6.00390625" customWidth="1"/>
    <col min="5" max="5" style="1825" width="22.00390625" customWidth="1"/>
    <col min="6" max="6" style="1825" width="15.00390625" customWidth="1"/>
    <col min="7" max="7" style="1825" width="14.00390625" customWidth="1"/>
    <col min="8" max="8" style="1825" width="47.00390625" customWidth="1"/>
    <col min="9" max="9" style="1825" width="115.00390625" customWidth="1"/>
    <col min="10" max="10" style="1825" width="3.00390625" customWidth="1"/>
    <col min="11" max="12" style="1825" width="8.00390625" customWidth="1"/>
    <col min="13" max="13" style="1825" width="9.140625" hidden="1"/>
  </cols>
  <sheetData>
    <row customHeight="1" ht="14.25" hidden="1">
      <c r="M1" s="123" t="s">
        <v>14</v>
      </c>
    </row>
    <row customHeight="1" ht="14.25" hidden="1">
      <c r="M2" s="123">
        <v>0</v>
      </c>
    </row>
    <row customHeight="1" ht="14.25" hidden="1">
      <c r="M3" s="123">
        <v>0</v>
      </c>
    </row>
    <row customHeight="1" ht="3">
      <c r="M4" s="123">
        <v>3</v>
      </c>
    </row>
    <row s="1637" customFormat="1" customHeight="1" ht="31.5">
      <c r="A5" s="117"/>
      <c r="C5" s="92"/>
      <c r="D5" s="2102" t="s">
        <v>1887</v>
      </c>
      <c r="E5" s="2102"/>
      <c r="F5" s="2102"/>
      <c r="G5" s="2102"/>
      <c r="H5" s="2102"/>
      <c r="I5" s="267"/>
      <c r="M5" s="85">
        <v>30</v>
      </c>
    </row>
    <row customHeight="1" ht="3" hidden="1">
      <c r="D6" s="124"/>
      <c r="E6" s="124"/>
      <c r="F6" s="124"/>
      <c r="G6" s="124"/>
      <c r="H6" s="124"/>
      <c r="I6" s="124"/>
      <c r="M6" s="123">
        <v>0</v>
      </c>
    </row>
    <row s="360" customFormat="1" customHeight="1" ht="14.699999999999998">
      <c r="B7" s="121"/>
      <c r="C7" s="122"/>
      <c r="D7" s="125"/>
      <c r="E7" s="125"/>
      <c r="F7" s="125"/>
      <c r="G7" s="125"/>
      <c r="H7" s="754"/>
      <c r="I7" s="125"/>
      <c r="J7" s="126"/>
      <c r="M7" s="120">
        <v>14</v>
      </c>
    </row>
    <row customHeight="1" ht="14.699999999999998">
      <c r="D8" s="2211" t="s">
        <v>300</v>
      </c>
      <c r="E8" s="2211"/>
      <c r="F8" s="2211"/>
      <c r="G8" s="2211"/>
      <c r="H8" s="2211"/>
      <c r="I8" s="2211" t="s">
        <v>301</v>
      </c>
      <c r="M8" s="123">
        <v>14</v>
      </c>
    </row>
    <row customHeight="1" ht="29.25">
      <c r="D9" s="2211" t="s">
        <v>88</v>
      </c>
      <c r="E9" s="2211" t="s">
        <v>1888</v>
      </c>
      <c r="F9" s="2211"/>
      <c r="G9" s="2211"/>
      <c r="H9" s="2211"/>
      <c r="I9" s="2211"/>
      <c r="M9" s="123">
        <v>28</v>
      </c>
    </row>
    <row customHeight="1" ht="24">
      <c r="D10" s="2211"/>
      <c r="E10" s="129" t="s">
        <v>1889</v>
      </c>
      <c r="F10" s="129" t="s">
        <v>1890</v>
      </c>
      <c r="G10" s="129" t="s">
        <v>1891</v>
      </c>
      <c r="H10" s="129" t="s">
        <v>390</v>
      </c>
      <c r="I10" s="2211"/>
      <c r="M10" s="123">
        <v>23</v>
      </c>
    </row>
    <row customHeight="1" ht="12" hidden="1">
      <c r="D11" s="89" t="s">
        <v>109</v>
      </c>
      <c r="E11" s="89" t="s">
        <v>91</v>
      </c>
      <c r="F11" s="89" t="s">
        <v>111</v>
      </c>
      <c r="G11" s="89" t="s">
        <v>92</v>
      </c>
      <c r="H11" s="89" t="s">
        <v>93</v>
      </c>
      <c r="I11" s="89" t="s">
        <v>112</v>
      </c>
      <c r="M11" s="123">
        <v>0</v>
      </c>
    </row>
    <row s="1825" customFormat="1" customHeight="1" ht="26.25">
      <c r="A12" s="147" t="s">
        <v>90</v>
      </c>
      <c r="B12" s="127" t="s">
        <v>22</v>
      </c>
      <c r="C12" s="128"/>
      <c r="D12" s="130" t="s">
        <v>109</v>
      </c>
      <c r="E12" s="383"/>
      <c r="F12" s="383"/>
      <c r="G12" s="1736" t="s">
        <v>22</v>
      </c>
      <c r="H12" s="384"/>
      <c r="I12" s="2171" t="s">
        <v>1892</v>
      </c>
      <c r="K12" s="274"/>
      <c r="L12" s="275"/>
      <c r="M12" s="119">
        <v>25</v>
      </c>
    </row>
    <row customHeight="1" ht="15.75">
      <c r="A13" s="123"/>
      <c r="B13" s="123"/>
      <c r="C13" s="123"/>
      <c r="D13" s="111"/>
      <c r="E13" s="132" t="s">
        <v>468</v>
      </c>
      <c r="F13" s="131"/>
      <c r="G13" s="131"/>
      <c r="H13" s="216"/>
      <c r="I13" s="2173"/>
      <c r="M13" s="123">
        <v>15</v>
      </c>
    </row>
    <row customHeight="1" ht="3">
      <c r="A14" s="123"/>
      <c r="B14" s="123"/>
      <c r="C14" s="123"/>
      <c r="M14" s="123">
        <v>3</v>
      </c>
    </row>
    <row customHeight="1" ht="29.25">
      <c r="E15" s="2498" t="s">
        <v>1893</v>
      </c>
      <c r="F15" s="2498"/>
      <c r="G15" s="2498"/>
      <c r="H15" s="2498"/>
      <c r="M15" s="123">
        <v>28</v>
      </c>
    </row>
    <row customHeight="1" ht="14.25" hidden="1">
      <c r="A16" s="120" t="s">
        <v>82</v>
      </c>
      <c r="B16" s="121">
        <v>0</v>
      </c>
      <c r="C16" s="122">
        <v>3</v>
      </c>
      <c r="D16" s="123">
        <v>6</v>
      </c>
      <c r="E16" s="123">
        <v>22</v>
      </c>
      <c r="F16" s="123">
        <v>15</v>
      </c>
      <c r="G16" s="123">
        <v>14</v>
      </c>
      <c r="H16" s="123">
        <v>47</v>
      </c>
      <c r="I16" s="123">
        <v>115</v>
      </c>
      <c r="J16" s="123">
        <v>3</v>
      </c>
      <c r="K16" s="123">
        <v>8</v>
      </c>
      <c r="L16" s="123">
        <v>8</v>
      </c>
      <c r="M16" s="123">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25085E-0E5D-11BA-8466-D6BD53B2C9B1}"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9" style="266" width="8.00390625" customWidth="1"/>
    <col min="10" max="10" style="266" width="9.140625" hidden="1"/>
  </cols>
  <sheetData>
    <row customHeight="1" ht="14.25" hidden="1">
      <c r="J1" s="71" t="s">
        <v>14</v>
      </c>
    </row>
    <row customHeight="1" ht="14.25" hidden="1">
      <c r="J2" s="71">
        <v>0</v>
      </c>
    </row>
    <row customHeight="1" ht="14.25" hidden="1">
      <c r="J3" s="71">
        <v>0</v>
      </c>
    </row>
    <row customHeight="1" ht="14.25" hidden="1">
      <c r="J4" s="71">
        <v>0</v>
      </c>
    </row>
    <row customHeight="1" ht="14.25" hidden="1">
      <c r="J5" s="71">
        <v>0</v>
      </c>
    </row>
    <row customHeight="1" ht="3">
      <c r="C6" s="94"/>
      <c r="D6" s="72"/>
      <c r="E6" s="72"/>
      <c r="J6" s="71">
        <v>3</v>
      </c>
    </row>
    <row customHeight="1" ht="23.25">
      <c r="C7" s="94"/>
      <c r="D7" s="2499" t="s">
        <v>1894</v>
      </c>
      <c r="E7" s="2500"/>
      <c r="F7" s="269"/>
      <c r="J7" s="71">
        <v>22</v>
      </c>
    </row>
    <row customHeight="1" ht="3">
      <c r="C8" s="94"/>
      <c r="D8" s="72"/>
      <c r="E8" s="72"/>
      <c r="J8" s="71">
        <v>3</v>
      </c>
    </row>
    <row customHeight="1" ht="16.8">
      <c r="C9" s="94"/>
      <c r="D9" s="107" t="s">
        <v>88</v>
      </c>
      <c r="E9" s="262" t="s">
        <v>1895</v>
      </c>
      <c r="J9" s="71">
        <v>16</v>
      </c>
    </row>
    <row customHeight="1" ht="1.05">
      <c r="C10" s="94"/>
      <c r="D10" s="89"/>
      <c r="E10" s="89"/>
      <c r="J10" s="71">
        <v>1</v>
      </c>
    </row>
    <row customHeight="1" ht="11.25" hidden="1">
      <c r="C11" s="94"/>
      <c r="D11" s="152">
        <v>0</v>
      </c>
      <c r="E11" s="263"/>
      <c r="J11" s="71">
        <v>0</v>
      </c>
    </row>
    <row customHeight="1" ht="15.75">
      <c r="C12" s="138"/>
      <c r="D12" s="115">
        <v>1</v>
      </c>
      <c r="E12" s="379"/>
      <c r="J12" s="71">
        <v>15</v>
      </c>
    </row>
    <row customHeight="1" ht="12.75">
      <c r="C13" s="94"/>
      <c r="D13" s="264"/>
      <c r="E13" s="265" t="s">
        <v>1896</v>
      </c>
      <c r="J13" s="71">
        <v>12</v>
      </c>
    </row>
    <row customHeight="1" ht="3">
      <c r="J14" s="71">
        <v>3</v>
      </c>
    </row>
    <row customHeight="1" ht="23.25">
      <c r="C15" s="139"/>
      <c r="D15" s="2501" t="s">
        <v>1897</v>
      </c>
      <c r="E15" s="2501"/>
      <c r="F15" s="140"/>
      <c r="G15" s="140"/>
      <c r="H15" s="140"/>
      <c r="I15" s="140"/>
      <c r="J15" s="71">
        <v>22</v>
      </c>
    </row>
    <row customHeight="1" ht="14.25" hidden="1">
      <c r="A16" s="71" t="s">
        <v>82</v>
      </c>
      <c r="B16" s="71">
        <v>0</v>
      </c>
      <c r="C16" s="93">
        <v>3</v>
      </c>
      <c r="D16" s="71">
        <v>6</v>
      </c>
      <c r="E16" s="71">
        <v>94</v>
      </c>
      <c r="F16" s="71">
        <v>8</v>
      </c>
      <c r="G16" s="71">
        <v>8</v>
      </c>
      <c r="H16" s="71">
        <v>8</v>
      </c>
      <c r="I16" s="71">
        <v>8</v>
      </c>
      <c r="J16" s="71">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AC29F2-A029-B285-E05F-0EC82F066A94}"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12" style="266" width="8.00390625" customWidth="1"/>
    <col min="13" max="13" style="266" width="9.140625" hidden="1"/>
  </cols>
  <sheetData>
    <row customHeight="1" ht="14.25" hidden="1">
      <c r="L1" s="266"/>
      <c r="M1" s="71" t="s">
        <v>14</v>
      </c>
    </row>
    <row customHeight="1" ht="14.25" hidden="1">
      <c r="M2" s="71">
        <v>0</v>
      </c>
    </row>
    <row customHeight="1" ht="14.25" hidden="1">
      <c r="M3" s="71">
        <v>0</v>
      </c>
    </row>
    <row customHeight="1" ht="14.25" hidden="1">
      <c r="M4" s="71">
        <v>0</v>
      </c>
    </row>
    <row customHeight="1" ht="14.25" hidden="1">
      <c r="M5" s="71">
        <v>0</v>
      </c>
    </row>
    <row customHeight="1" ht="3">
      <c r="C6" s="94"/>
      <c r="D6" s="72"/>
      <c r="E6" s="72"/>
      <c r="M6" s="71">
        <v>3</v>
      </c>
    </row>
    <row customHeight="1" ht="23.25">
      <c r="C7" s="94"/>
      <c r="D7" s="2102" t="s">
        <v>1898</v>
      </c>
      <c r="E7" s="2102"/>
      <c r="F7" s="269"/>
      <c r="M7" s="71">
        <v>22</v>
      </c>
    </row>
    <row customHeight="1" ht="3">
      <c r="C8" s="94"/>
      <c r="D8" s="72"/>
      <c r="E8" s="72"/>
      <c r="M8" s="71">
        <v>3</v>
      </c>
    </row>
    <row customHeight="1" ht="16.8">
      <c r="C9" s="94"/>
      <c r="D9" s="107" t="s">
        <v>88</v>
      </c>
      <c r="E9" s="110" t="s">
        <v>287</v>
      </c>
      <c r="M9" s="71">
        <v>16</v>
      </c>
    </row>
    <row customHeight="1" ht="12.75">
      <c r="C10" s="94"/>
      <c r="D10" s="89" t="s">
        <v>109</v>
      </c>
      <c r="E10" s="89" t="s">
        <v>110</v>
      </c>
      <c r="M10" s="71">
        <v>12</v>
      </c>
    </row>
    <row customHeight="1" ht="15" hidden="1">
      <c r="C11" s="94"/>
      <c r="D11" s="115">
        <v>0</v>
      </c>
      <c r="E11" s="151"/>
      <c r="M11" s="71">
        <v>0</v>
      </c>
    </row>
    <row customHeight="1" ht="14.699999999999998">
      <c r="C12" s="94"/>
      <c r="D12" s="111"/>
      <c r="E12" s="109" t="s">
        <v>1896</v>
      </c>
      <c r="M12" s="71">
        <v>14</v>
      </c>
    </row>
    <row customHeight="1" ht="14.25" hidden="1">
      <c r="A13" s="71" t="s">
        <v>82</v>
      </c>
      <c r="B13" s="71">
        <v>0</v>
      </c>
      <c r="C13" s="93">
        <v>3</v>
      </c>
      <c r="D13" s="71">
        <v>6</v>
      </c>
      <c r="E13" s="71">
        <v>94</v>
      </c>
      <c r="F13" s="71">
        <v>8</v>
      </c>
      <c r="G13" s="71">
        <v>8</v>
      </c>
      <c r="H13" s="71">
        <v>8</v>
      </c>
      <c r="I13" s="71">
        <v>8</v>
      </c>
      <c r="J13" s="71">
        <v>8</v>
      </c>
      <c r="K13" s="71">
        <v>8</v>
      </c>
      <c r="L13" s="71">
        <v>8</v>
      </c>
      <c r="M13" s="71">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66A1E2-7525-99D5-BF01-CD8B53A24537}"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2" width="9.140625" hidden="1"/>
    <col min="3" max="4" style="1852" width="3.00390625" customWidth="1"/>
    <col min="5" max="6" style="1852" width="15.00390625" customWidth="1"/>
    <col min="7" max="7" style="1852" width="11.57421875" customWidth="1"/>
    <col min="8" max="9" style="1852" width="3.00390625" customWidth="1"/>
    <col min="10" max="10" style="1852" width="12.00390625" customWidth="1"/>
    <col min="11" max="11" style="1852" width="0.28125" customWidth="1"/>
    <col min="12" max="13" style="1852" width="10.00390625" customWidth="1"/>
    <col min="14" max="15" style="1852" width="3.00390625" customWidth="1"/>
    <col min="16" max="16" style="1852" width="19.00390625" customWidth="1"/>
    <col min="17" max="17" style="1852" width="0.28125" customWidth="1"/>
    <col min="18" max="19" style="1852" width="10.00390625" customWidth="1"/>
    <col min="20" max="21" style="1852" width="3.00390625" customWidth="1"/>
    <col min="22" max="22" style="1852" width="25.00390625" customWidth="1"/>
    <col min="23" max="23" style="1852" width="0.28125" customWidth="1"/>
    <col min="24" max="25" style="1852" width="10.00390625" customWidth="1"/>
    <col min="26" max="27" style="1852" width="3.00390625" customWidth="1"/>
    <col min="28" max="28" style="1852" width="16.00390625" customWidth="1"/>
    <col min="29" max="29" style="1852" width="0.28125" customWidth="1"/>
    <col min="30" max="31" style="1852" width="10.00390625" customWidth="1"/>
    <col min="32" max="33" style="1852" width="3.00390625" customWidth="1"/>
    <col min="34" max="34" style="1852" width="8.00390625" customWidth="1"/>
    <col min="35" max="35" style="1852" width="21.00390625" customWidth="1"/>
    <col min="36" max="36" style="1852" width="8.00390625" customWidth="1"/>
    <col min="37" max="37" style="360" width="8.00390625" customWidth="1"/>
    <col min="38" max="64" style="1852" width="8.00390625" customWidth="1"/>
    <col min="65" max="65" style="1852" width="9.140625" hidden="1"/>
  </cols>
  <sheetData>
    <row s="1318" customFormat="1" customHeight="1" ht="11.25" hidden="1">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c r="BK1" s="424"/>
      <c r="BL1" s="424"/>
      <c r="BM1" s="421" t="s">
        <v>14</v>
      </c>
    </row>
    <row s="1555" customFormat="1" customHeight="1" ht="11.25" hidden="1">
      <c r="L2" s="1555" t="s">
        <v>279</v>
      </c>
      <c r="M2" s="1555" t="s">
        <v>280</v>
      </c>
      <c r="R2" s="1555" t="s">
        <v>281</v>
      </c>
      <c r="S2" s="1555" t="s">
        <v>280</v>
      </c>
      <c r="X2" s="1555" t="s">
        <v>279</v>
      </c>
      <c r="Y2" s="1555" t="s">
        <v>280</v>
      </c>
      <c r="AD2" s="1555" t="s">
        <v>279</v>
      </c>
      <c r="AE2" s="1555" t="s">
        <v>280</v>
      </c>
      <c r="AJ2" s="1577"/>
      <c r="AK2" s="1577"/>
      <c r="AL2" s="1577"/>
      <c r="AM2" s="1577"/>
      <c r="AN2" s="1577"/>
      <c r="AO2" s="1577"/>
      <c r="AP2" s="1577"/>
      <c r="AQ2" s="1577"/>
      <c r="AR2" s="1577"/>
      <c r="AS2" s="1577"/>
      <c r="AT2" s="1577"/>
      <c r="AU2" s="1577"/>
      <c r="AV2" s="1577"/>
      <c r="AW2" s="1577"/>
      <c r="AX2" s="1577"/>
      <c r="AY2" s="1577"/>
      <c r="AZ2" s="1577"/>
      <c r="BA2" s="1577"/>
      <c r="BB2" s="1577"/>
      <c r="BC2" s="1577"/>
      <c r="BD2" s="1577"/>
      <c r="BE2" s="1577"/>
      <c r="BF2" s="1577"/>
      <c r="BG2" s="1577"/>
      <c r="BH2" s="1577"/>
      <c r="BI2" s="1577"/>
      <c r="BJ2" s="1577"/>
      <c r="BK2" s="1577"/>
      <c r="BL2" s="1577"/>
      <c r="BM2" s="1555">
        <v>0</v>
      </c>
    </row>
    <row s="1556" customFormat="1" customHeight="1" ht="11.549999999999999">
      <c r="AJ3" s="1576"/>
      <c r="AK3" s="308"/>
      <c r="AL3" s="1576"/>
      <c r="AM3" s="1576"/>
      <c r="AN3" s="1576"/>
      <c r="AO3" s="1576"/>
      <c r="AP3" s="1576"/>
      <c r="AQ3" s="1576"/>
      <c r="AR3" s="1576"/>
      <c r="AS3" s="1576"/>
      <c r="AT3" s="1576"/>
      <c r="AU3" s="1576"/>
      <c r="AV3" s="1576"/>
      <c r="AW3" s="1576"/>
      <c r="AX3" s="1576"/>
      <c r="AY3" s="1576"/>
      <c r="AZ3" s="1576"/>
      <c r="BA3" s="1576"/>
      <c r="BB3" s="1576"/>
      <c r="BC3" s="1576"/>
      <c r="BD3" s="1576"/>
      <c r="BE3" s="1576"/>
      <c r="BF3" s="1576"/>
      <c r="BG3" s="1576"/>
      <c r="BH3" s="1576"/>
      <c r="BI3" s="1576"/>
      <c r="BJ3" s="1576"/>
      <c r="BK3" s="1576"/>
      <c r="BL3" s="1576"/>
      <c r="BM3" s="1556">
        <v>11</v>
      </c>
    </row>
    <row s="1821" customFormat="1" customHeight="1" ht="34.5">
      <c r="A4" s="1158"/>
      <c r="B4" s="1157"/>
      <c r="C4" s="1517"/>
      <c r="D4" s="2193" t="s">
        <v>282</v>
      </c>
      <c r="E4" s="2193"/>
      <c r="F4" s="2193"/>
      <c r="G4" s="2193"/>
      <c r="H4" s="2193"/>
      <c r="I4" s="2193"/>
      <c r="J4" s="2193"/>
      <c r="K4" s="701"/>
      <c r="T4" s="1557"/>
      <c r="AJ4" s="1578"/>
      <c r="AK4" s="1579"/>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509">
        <v>33</v>
      </c>
    </row>
    <row s="1821" customFormat="1" customHeight="1" ht="14.699999999999998">
      <c r="A5" s="1634"/>
      <c r="B5" s="1633"/>
      <c r="C5" s="1517"/>
      <c r="D5" s="2178" t="str">
        <f>IF(org=0,"Не определено",org)</f>
        <v>ПАО "ТГК-2"</v>
      </c>
      <c r="E5" s="2178"/>
      <c r="F5" s="2178"/>
      <c r="G5" s="2178"/>
      <c r="H5" s="2178"/>
      <c r="I5" s="2178"/>
      <c r="J5" s="2178"/>
      <c r="K5" s="701"/>
      <c r="T5" s="1557"/>
      <c r="AJ5" s="1578"/>
      <c r="AK5" s="1579"/>
      <c r="AL5" s="1578"/>
      <c r="AM5" s="1578"/>
      <c r="AN5" s="1578"/>
      <c r="AO5" s="1578"/>
      <c r="AP5" s="1578"/>
      <c r="AQ5" s="1578"/>
      <c r="AR5" s="1578"/>
      <c r="AS5" s="1578"/>
      <c r="AT5" s="1578"/>
      <c r="AU5" s="1578"/>
      <c r="AV5" s="1578"/>
      <c r="AW5" s="1578"/>
      <c r="AX5" s="1578"/>
      <c r="AY5" s="1578"/>
      <c r="AZ5" s="1578"/>
      <c r="BA5" s="1578"/>
      <c r="BB5" s="1578"/>
      <c r="BC5" s="1578"/>
      <c r="BD5" s="1578"/>
      <c r="BE5" s="1578"/>
      <c r="BF5" s="1578"/>
      <c r="BG5" s="1578"/>
      <c r="BH5" s="1578"/>
      <c r="BI5" s="1578"/>
      <c r="BJ5" s="1578"/>
      <c r="BK5" s="1578"/>
      <c r="BL5" s="1578"/>
      <c r="BM5" s="1611">
        <v>14</v>
      </c>
    </row>
    <row s="1821" customFormat="1" customHeight="1" ht="14.699999999999998">
      <c r="A6" s="1158"/>
      <c r="B6" s="1157"/>
      <c r="C6" s="1517"/>
      <c r="D6" s="701"/>
      <c r="E6" s="701"/>
      <c r="F6" s="701"/>
      <c r="G6" s="701"/>
      <c r="H6" s="701"/>
      <c r="I6" s="701"/>
      <c r="J6" s="701"/>
      <c r="K6" s="701"/>
      <c r="T6" s="1557"/>
      <c r="AJ6" s="1578"/>
      <c r="AK6" s="1579"/>
      <c r="AL6" s="1578"/>
      <c r="AM6" s="1578"/>
      <c r="AN6" s="1578"/>
      <c r="AO6" s="1578"/>
      <c r="AP6" s="1578"/>
      <c r="AQ6" s="1578"/>
      <c r="AR6" s="1578"/>
      <c r="AS6" s="1578"/>
      <c r="AT6" s="1578"/>
      <c r="AU6" s="1578"/>
      <c r="AV6" s="1578"/>
      <c r="AW6" s="1578"/>
      <c r="AX6" s="1578"/>
      <c r="AY6" s="1578"/>
      <c r="AZ6" s="1578"/>
      <c r="BA6" s="1578"/>
      <c r="BB6" s="1578"/>
      <c r="BC6" s="1578"/>
      <c r="BD6" s="1578"/>
      <c r="BE6" s="1578"/>
      <c r="BF6" s="1578"/>
      <c r="BG6" s="1578"/>
      <c r="BH6" s="1578"/>
      <c r="BI6" s="1578"/>
      <c r="BJ6" s="1578"/>
      <c r="BK6" s="1578"/>
      <c r="BL6" s="1578"/>
      <c r="BM6" s="509">
        <v>14</v>
      </c>
    </row>
    <row s="1318" customFormat="1" customHeight="1" ht="1.05">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1">
        <v>1</v>
      </c>
    </row>
    <row customHeight="1" ht="33.75">
      <c r="D8" s="2129" t="s">
        <v>88</v>
      </c>
      <c r="E8" s="2129" t="s">
        <v>105</v>
      </c>
      <c r="F8" s="2194" t="s">
        <v>124</v>
      </c>
      <c r="G8" s="2195"/>
      <c r="H8" s="2194" t="s">
        <v>88</v>
      </c>
      <c r="I8" s="2195"/>
      <c r="J8" s="2129" t="s">
        <v>125</v>
      </c>
      <c r="K8" s="1558"/>
      <c r="L8" s="2198" t="s">
        <v>283</v>
      </c>
      <c r="M8" s="2198"/>
      <c r="N8" s="2198"/>
      <c r="O8" s="2198"/>
      <c r="P8" s="2198"/>
      <c r="Q8" s="1559"/>
      <c r="R8" s="2098" t="s">
        <v>284</v>
      </c>
      <c r="S8" s="2199"/>
      <c r="T8" s="2199"/>
      <c r="U8" s="2199"/>
      <c r="V8" s="2199"/>
      <c r="W8" s="1559"/>
      <c r="X8" s="2200" t="s">
        <v>285</v>
      </c>
      <c r="Y8" s="2200"/>
      <c r="Z8" s="2200"/>
      <c r="AA8" s="2200"/>
      <c r="AB8" s="2200"/>
      <c r="AC8" s="1560"/>
      <c r="AD8" s="2129" t="s">
        <v>286</v>
      </c>
      <c r="AE8" s="2129"/>
      <c r="AF8" s="2129"/>
      <c r="AG8" s="2129"/>
      <c r="AH8" s="2103"/>
      <c r="AI8" s="2129" t="s">
        <v>287</v>
      </c>
      <c r="AJ8" s="1576"/>
      <c r="BM8" s="295">
        <v>32</v>
      </c>
    </row>
    <row customHeight="1" ht="23.25">
      <c r="D9" s="2129"/>
      <c r="E9" s="2129"/>
      <c r="F9" s="2177" t="s">
        <v>89</v>
      </c>
      <c r="G9" s="2177" t="s">
        <v>130</v>
      </c>
      <c r="H9" s="2196"/>
      <c r="I9" s="2197"/>
      <c r="J9" s="2103"/>
      <c r="K9" s="1561"/>
      <c r="L9" s="2129" t="s">
        <v>288</v>
      </c>
      <c r="M9" s="2103"/>
      <c r="N9" s="2194" t="s">
        <v>88</v>
      </c>
      <c r="O9" s="2195"/>
      <c r="P9" s="2129" t="s">
        <v>131</v>
      </c>
      <c r="Q9" s="1558"/>
      <c r="R9" s="2129" t="s">
        <v>288</v>
      </c>
      <c r="S9" s="2103"/>
      <c r="T9" s="2194" t="s">
        <v>88</v>
      </c>
      <c r="U9" s="2195"/>
      <c r="V9" s="2129" t="s">
        <v>131</v>
      </c>
      <c r="W9" s="1558"/>
      <c r="X9" s="2129" t="s">
        <v>288</v>
      </c>
      <c r="Y9" s="2103"/>
      <c r="Z9" s="2194" t="s">
        <v>88</v>
      </c>
      <c r="AA9" s="2195"/>
      <c r="AB9" s="2129" t="s">
        <v>289</v>
      </c>
      <c r="AC9" s="1558"/>
      <c r="AD9" s="2129" t="s">
        <v>288</v>
      </c>
      <c r="AE9" s="2103"/>
      <c r="AF9" s="2194" t="s">
        <v>88</v>
      </c>
      <c r="AG9" s="2195"/>
      <c r="AH9" s="2103" t="s">
        <v>289</v>
      </c>
      <c r="AI9" s="2129"/>
      <c r="AJ9" s="1576"/>
      <c r="BM9" s="295">
        <v>22</v>
      </c>
    </row>
    <row customHeight="1" ht="24">
      <c r="D10" s="2177"/>
      <c r="E10" s="2177"/>
      <c r="F10" s="2201"/>
      <c r="G10" s="2201"/>
      <c r="H10" s="2202"/>
      <c r="I10" s="2203"/>
      <c r="J10" s="2194"/>
      <c r="K10" s="1561"/>
      <c r="L10" s="1580" t="s">
        <v>290</v>
      </c>
      <c r="M10" s="1575" t="s">
        <v>291</v>
      </c>
      <c r="N10" s="2196"/>
      <c r="O10" s="2197"/>
      <c r="P10" s="2177"/>
      <c r="Q10" s="1558"/>
      <c r="R10" s="1580" t="s">
        <v>290</v>
      </c>
      <c r="S10" s="1575" t="s">
        <v>291</v>
      </c>
      <c r="T10" s="2196"/>
      <c r="U10" s="2197"/>
      <c r="V10" s="2177"/>
      <c r="W10" s="1558"/>
      <c r="X10" s="1580" t="s">
        <v>290</v>
      </c>
      <c r="Y10" s="1575" t="s">
        <v>291</v>
      </c>
      <c r="Z10" s="2196"/>
      <c r="AA10" s="2197"/>
      <c r="AB10" s="2177"/>
      <c r="AC10" s="1558"/>
      <c r="AD10" s="1580" t="s">
        <v>290</v>
      </c>
      <c r="AE10" s="1575" t="s">
        <v>291</v>
      </c>
      <c r="AF10" s="2196"/>
      <c r="AG10" s="2197"/>
      <c r="AH10" s="2194"/>
      <c r="AI10" s="2177"/>
      <c r="AJ10" s="1576"/>
      <c r="AK10" s="256" t="s">
        <v>292</v>
      </c>
      <c r="AL10" s="256" t="s">
        <v>132</v>
      </c>
      <c r="BM10" s="295">
        <v>23</v>
      </c>
    </row>
    <row customHeight="1" ht="15">
      <c r="D11" s="2185" t="s">
        <v>109</v>
      </c>
      <c r="E11" s="2181" t="s">
        <v>293</v>
      </c>
      <c r="F11" s="2181" t="s">
        <v>294</v>
      </c>
      <c r="G11" s="2187" t="s">
        <v>19</v>
      </c>
      <c r="H11" s="1601"/>
      <c r="I11" s="2183"/>
      <c r="J11" s="2154"/>
      <c r="K11" s="1516"/>
      <c r="L11" s="2139"/>
      <c r="M11" s="2139"/>
      <c r="N11" s="1586"/>
      <c r="O11" s="2139"/>
      <c r="P11" s="2154"/>
      <c r="Q11" s="1587"/>
      <c r="R11" s="2139"/>
      <c r="S11" s="2139"/>
      <c r="T11" s="1588"/>
      <c r="U11" s="2139"/>
      <c r="V11" s="2154"/>
      <c r="W11" s="1589"/>
      <c r="X11" s="2139"/>
      <c r="Y11" s="2139"/>
      <c r="Z11" s="1586"/>
      <c r="AA11" s="2139"/>
      <c r="AB11" s="2154"/>
      <c r="AC11" s="1590"/>
      <c r="AD11" s="2139"/>
      <c r="AE11" s="2139"/>
      <c r="AF11" s="1515"/>
      <c r="AG11" s="1515"/>
      <c r="AH11" s="1591"/>
      <c r="AI11" s="1298"/>
      <c r="AJ11" s="1576"/>
      <c r="BM11" s="295">
        <v>14</v>
      </c>
    </row>
    <row customHeight="1" ht="14.699999999999998">
      <c r="D12" s="2185"/>
      <c r="E12" s="2181"/>
      <c r="F12" s="2181"/>
      <c r="G12" s="2188"/>
      <c r="H12" s="1602"/>
      <c r="I12" s="2184"/>
      <c r="J12" s="2155"/>
      <c r="K12" s="1612"/>
      <c r="L12" s="2140"/>
      <c r="M12" s="2140"/>
      <c r="N12" s="1592"/>
      <c r="O12" s="2140"/>
      <c r="P12" s="2155"/>
      <c r="Q12" s="1593"/>
      <c r="R12" s="2140"/>
      <c r="S12" s="2140"/>
      <c r="T12" s="1594"/>
      <c r="U12" s="2140"/>
      <c r="V12" s="2155"/>
      <c r="W12" s="1595"/>
      <c r="X12" s="2140"/>
      <c r="Y12" s="2140"/>
      <c r="Z12" s="1592"/>
      <c r="AA12" s="2140"/>
      <c r="AB12" s="2155"/>
      <c r="AC12" s="1596"/>
      <c r="AD12" s="2140"/>
      <c r="AE12" s="2140"/>
      <c r="AF12" s="1597"/>
      <c r="AG12" s="1597"/>
      <c r="AH12" s="2179"/>
      <c r="AI12" s="2180"/>
      <c r="AJ12" s="1576"/>
      <c r="BM12" s="295">
        <v>14</v>
      </c>
    </row>
    <row customHeight="1" ht="14.699999999999998">
      <c r="D13" s="2185"/>
      <c r="E13" s="2181"/>
      <c r="F13" s="2181"/>
      <c r="G13" s="2188"/>
      <c r="H13" s="1602"/>
      <c r="I13" s="2184"/>
      <c r="J13" s="2155"/>
      <c r="K13" s="1612"/>
      <c r="L13" s="2140"/>
      <c r="M13" s="2140"/>
      <c r="N13" s="1592"/>
      <c r="O13" s="2140"/>
      <c r="P13" s="2155"/>
      <c r="Q13" s="1593"/>
      <c r="R13" s="2140"/>
      <c r="S13" s="2140"/>
      <c r="T13" s="1594"/>
      <c r="U13" s="2140"/>
      <c r="V13" s="2155"/>
      <c r="W13" s="1595"/>
      <c r="X13" s="2140"/>
      <c r="Y13" s="2140"/>
      <c r="Z13" s="1514"/>
      <c r="AA13" s="1597"/>
      <c r="AB13" s="2179"/>
      <c r="AC13" s="2179"/>
      <c r="AD13" s="2179"/>
      <c r="AE13" s="2179"/>
      <c r="AF13" s="2179"/>
      <c r="AG13" s="2179"/>
      <c r="AH13" s="2179"/>
      <c r="AI13" s="2180"/>
      <c r="AJ13" s="1576"/>
      <c r="BM13" s="295">
        <v>14</v>
      </c>
    </row>
    <row customHeight="1" ht="14.699999999999998">
      <c r="D14" s="2185"/>
      <c r="E14" s="2181"/>
      <c r="F14" s="2181"/>
      <c r="G14" s="2188"/>
      <c r="H14" s="1602"/>
      <c r="I14" s="2184"/>
      <c r="J14" s="2155"/>
      <c r="K14" s="1612"/>
      <c r="L14" s="2140"/>
      <c r="M14" s="2140"/>
      <c r="N14" s="1592"/>
      <c r="O14" s="2140"/>
      <c r="P14" s="2155"/>
      <c r="Q14" s="1593"/>
      <c r="R14" s="2140"/>
      <c r="S14" s="2140"/>
      <c r="T14" s="1598"/>
      <c r="U14" s="1599"/>
      <c r="V14" s="2179"/>
      <c r="W14" s="2179"/>
      <c r="X14" s="2179"/>
      <c r="Y14" s="2179"/>
      <c r="Z14" s="2179"/>
      <c r="AA14" s="2179"/>
      <c r="AB14" s="2179"/>
      <c r="AC14" s="2179"/>
      <c r="AD14" s="2179"/>
      <c r="AE14" s="2179"/>
      <c r="AF14" s="2179"/>
      <c r="AG14" s="2179"/>
      <c r="AH14" s="2179"/>
      <c r="AI14" s="2180"/>
      <c r="AJ14" s="1576"/>
      <c r="BM14" s="295">
        <v>14</v>
      </c>
    </row>
    <row customHeight="1" ht="11.549999999999999">
      <c r="D15" s="2185"/>
      <c r="E15" s="2181"/>
      <c r="F15" s="2181"/>
      <c r="G15" s="2188"/>
      <c r="H15" s="1603"/>
      <c r="I15" s="2184"/>
      <c r="J15" s="2155"/>
      <c r="K15" s="1612"/>
      <c r="L15" s="2140"/>
      <c r="M15" s="2140"/>
      <c r="N15" s="1597"/>
      <c r="O15" s="1597"/>
      <c r="P15" s="2179"/>
      <c r="Q15" s="2179"/>
      <c r="R15" s="2179"/>
      <c r="S15" s="2179"/>
      <c r="T15" s="2179"/>
      <c r="U15" s="2179"/>
      <c r="V15" s="2179"/>
      <c r="W15" s="2179"/>
      <c r="X15" s="2179"/>
      <c r="Y15" s="2179"/>
      <c r="Z15" s="2179"/>
      <c r="AA15" s="2179"/>
      <c r="AB15" s="2179"/>
      <c r="AC15" s="2179"/>
      <c r="AD15" s="2179"/>
      <c r="AE15" s="2179"/>
      <c r="AF15" s="2179"/>
      <c r="AG15" s="2179"/>
      <c r="AH15" s="2179"/>
      <c r="AI15" s="2180"/>
      <c r="AJ15" s="1576"/>
      <c r="BM15" s="295">
        <v>11</v>
      </c>
    </row>
    <row s="1556" customFormat="1" customHeight="1" ht="11.549999999999999">
      <c r="D16" s="2191"/>
      <c r="E16" s="2192"/>
      <c r="F16" s="2182"/>
      <c r="G16" s="2114"/>
      <c r="H16" s="1600"/>
      <c r="I16" s="1604"/>
      <c r="J16" s="2189"/>
      <c r="K16" s="2189"/>
      <c r="L16" s="2189"/>
      <c r="M16" s="2189"/>
      <c r="N16" s="2189"/>
      <c r="O16" s="2189"/>
      <c r="P16" s="2189"/>
      <c r="Q16" s="2189"/>
      <c r="R16" s="2189"/>
      <c r="S16" s="2189"/>
      <c r="T16" s="2189"/>
      <c r="U16" s="2189"/>
      <c r="V16" s="2189"/>
      <c r="W16" s="2189"/>
      <c r="X16" s="2189"/>
      <c r="Y16" s="2189"/>
      <c r="Z16" s="2189"/>
      <c r="AA16" s="2189"/>
      <c r="AB16" s="2189"/>
      <c r="AC16" s="2189"/>
      <c r="AD16" s="2189"/>
      <c r="AE16" s="2189"/>
      <c r="AF16" s="2189"/>
      <c r="AG16" s="2189"/>
      <c r="AH16" s="2189"/>
      <c r="AI16" s="2190"/>
      <c r="AJ16" s="1576"/>
      <c r="AK16" s="308"/>
      <c r="AL16" s="1576"/>
      <c r="AM16" s="1576"/>
      <c r="AN16" s="1576"/>
      <c r="AO16" s="1576"/>
      <c r="AP16" s="1576"/>
      <c r="AQ16" s="1576"/>
      <c r="AR16" s="1576"/>
      <c r="AS16" s="1576"/>
      <c r="AT16" s="1576"/>
      <c r="AU16" s="1576"/>
      <c r="AV16" s="1576"/>
      <c r="AW16" s="1576"/>
      <c r="AX16" s="1576"/>
      <c r="AY16" s="1576"/>
      <c r="AZ16" s="1576"/>
      <c r="BA16" s="1576"/>
      <c r="BB16" s="1576"/>
      <c r="BC16" s="1576"/>
      <c r="BD16" s="1576"/>
      <c r="BE16" s="1576"/>
      <c r="BF16" s="1576"/>
      <c r="BG16" s="1576"/>
      <c r="BH16" s="1576"/>
      <c r="BI16" s="1576"/>
      <c r="BJ16" s="1576"/>
      <c r="BK16" s="1576"/>
      <c r="BL16" s="1576"/>
      <c r="BM16" s="1556">
        <v>11</v>
      </c>
    </row>
    <row customHeight="1" ht="15">
      <c r="D17" s="2185" t="s">
        <v>110</v>
      </c>
      <c r="E17" s="2181" t="s">
        <v>293</v>
      </c>
      <c r="F17" s="2181" t="s">
        <v>295</v>
      </c>
      <c r="G17" s="2187" t="s">
        <v>19</v>
      </c>
      <c r="H17" s="1601"/>
      <c r="I17" s="2183"/>
      <c r="J17" s="2154"/>
      <c r="K17" s="1516"/>
      <c r="L17" s="2139"/>
      <c r="M17" s="2139"/>
      <c r="N17" s="1586"/>
      <c r="O17" s="2139"/>
      <c r="P17" s="2154"/>
      <c r="Q17" s="1587"/>
      <c r="R17" s="2139"/>
      <c r="S17" s="2139"/>
      <c r="T17" s="1588"/>
      <c r="U17" s="2139"/>
      <c r="V17" s="2154"/>
      <c r="W17" s="1589"/>
      <c r="X17" s="2139"/>
      <c r="Y17" s="2139"/>
      <c r="Z17" s="1586"/>
      <c r="AA17" s="2139"/>
      <c r="AB17" s="2154"/>
      <c r="AC17" s="1590"/>
      <c r="AD17" s="2139"/>
      <c r="AE17" s="2139"/>
      <c r="AF17" s="1515"/>
      <c r="AG17" s="1515"/>
      <c r="AH17" s="1591"/>
      <c r="AI17" s="1298"/>
      <c r="AJ17" s="1576"/>
      <c r="BM17" s="295">
        <v>14</v>
      </c>
    </row>
    <row customHeight="1" ht="14.699999999999998">
      <c r="D18" s="2185"/>
      <c r="E18" s="2181"/>
      <c r="F18" s="2181"/>
      <c r="G18" s="2188"/>
      <c r="H18" s="1602"/>
      <c r="I18" s="2184"/>
      <c r="J18" s="2155"/>
      <c r="K18" s="1585"/>
      <c r="L18" s="2140"/>
      <c r="M18" s="2140"/>
      <c r="N18" s="1592"/>
      <c r="O18" s="2140"/>
      <c r="P18" s="2155"/>
      <c r="Q18" s="1593"/>
      <c r="R18" s="2140"/>
      <c r="S18" s="2140"/>
      <c r="T18" s="1594"/>
      <c r="U18" s="2140"/>
      <c r="V18" s="2155"/>
      <c r="W18" s="1595"/>
      <c r="X18" s="2140"/>
      <c r="Y18" s="2140"/>
      <c r="Z18" s="1592"/>
      <c r="AA18" s="2140"/>
      <c r="AB18" s="2155"/>
      <c r="AC18" s="1596"/>
      <c r="AD18" s="2140"/>
      <c r="AE18" s="2140"/>
      <c r="AF18" s="1597"/>
      <c r="AG18" s="1597"/>
      <c r="AH18" s="2179"/>
      <c r="AI18" s="2180"/>
      <c r="AJ18" s="1576"/>
      <c r="BM18" s="295">
        <v>14</v>
      </c>
    </row>
    <row customHeight="1" ht="14.699999999999998">
      <c r="D19" s="2185"/>
      <c r="E19" s="2181"/>
      <c r="F19" s="2181"/>
      <c r="G19" s="2188"/>
      <c r="H19" s="1602"/>
      <c r="I19" s="2184"/>
      <c r="J19" s="2155"/>
      <c r="K19" s="1585"/>
      <c r="L19" s="2140"/>
      <c r="M19" s="2140"/>
      <c r="N19" s="1592"/>
      <c r="O19" s="2140"/>
      <c r="P19" s="2155"/>
      <c r="Q19" s="1593"/>
      <c r="R19" s="2140"/>
      <c r="S19" s="2140"/>
      <c r="T19" s="1594"/>
      <c r="U19" s="2140"/>
      <c r="V19" s="2155"/>
      <c r="W19" s="1595"/>
      <c r="X19" s="2140"/>
      <c r="Y19" s="2140"/>
      <c r="Z19" s="1514"/>
      <c r="AA19" s="1597"/>
      <c r="AB19" s="2179"/>
      <c r="AC19" s="2179"/>
      <c r="AD19" s="2179"/>
      <c r="AE19" s="2179"/>
      <c r="AF19" s="2179"/>
      <c r="AG19" s="2179"/>
      <c r="AH19" s="2179"/>
      <c r="AI19" s="2180"/>
      <c r="AJ19" s="1576"/>
      <c r="BM19" s="295">
        <v>14</v>
      </c>
    </row>
    <row customHeight="1" ht="14.699999999999998">
      <c r="D20" s="2185"/>
      <c r="E20" s="2181"/>
      <c r="F20" s="2181"/>
      <c r="G20" s="2188"/>
      <c r="H20" s="1602"/>
      <c r="I20" s="2184"/>
      <c r="J20" s="2155"/>
      <c r="K20" s="1585"/>
      <c r="L20" s="2140"/>
      <c r="M20" s="2140"/>
      <c r="N20" s="1592"/>
      <c r="O20" s="2140"/>
      <c r="P20" s="2155"/>
      <c r="Q20" s="1593"/>
      <c r="R20" s="2140"/>
      <c r="S20" s="2140"/>
      <c r="T20" s="1598"/>
      <c r="U20" s="1599"/>
      <c r="V20" s="2179"/>
      <c r="W20" s="2179"/>
      <c r="X20" s="2179"/>
      <c r="Y20" s="2179"/>
      <c r="Z20" s="2179"/>
      <c r="AA20" s="2179"/>
      <c r="AB20" s="2179"/>
      <c r="AC20" s="2179"/>
      <c r="AD20" s="2179"/>
      <c r="AE20" s="2179"/>
      <c r="AF20" s="2179"/>
      <c r="AG20" s="2179"/>
      <c r="AH20" s="2179"/>
      <c r="AI20" s="2180"/>
      <c r="AJ20" s="1576"/>
      <c r="BM20" s="295">
        <v>14</v>
      </c>
    </row>
    <row customHeight="1" ht="11.549999999999999">
      <c r="D21" s="2185"/>
      <c r="E21" s="2181"/>
      <c r="F21" s="2181"/>
      <c r="G21" s="2188"/>
      <c r="H21" s="1603"/>
      <c r="I21" s="2184"/>
      <c r="J21" s="2155"/>
      <c r="K21" s="1585"/>
      <c r="L21" s="2140"/>
      <c r="M21" s="2140"/>
      <c r="N21" s="1597"/>
      <c r="O21" s="1597"/>
      <c r="P21" s="2179"/>
      <c r="Q21" s="2179"/>
      <c r="R21" s="2179"/>
      <c r="S21" s="2179"/>
      <c r="T21" s="2179"/>
      <c r="U21" s="2179"/>
      <c r="V21" s="2179"/>
      <c r="W21" s="2179"/>
      <c r="X21" s="2179"/>
      <c r="Y21" s="2179"/>
      <c r="Z21" s="2179"/>
      <c r="AA21" s="2179"/>
      <c r="AB21" s="2179"/>
      <c r="AC21" s="2179"/>
      <c r="AD21" s="2179"/>
      <c r="AE21" s="2179"/>
      <c r="AF21" s="2179"/>
      <c r="AG21" s="2179"/>
      <c r="AH21" s="2179"/>
      <c r="AI21" s="2180"/>
      <c r="AJ21" s="1576"/>
      <c r="BM21" s="295">
        <v>11</v>
      </c>
    </row>
    <row s="1556" customFormat="1" customHeight="1" ht="11.549999999999999">
      <c r="D22" s="2191"/>
      <c r="E22" s="2192"/>
      <c r="F22" s="2182"/>
      <c r="G22" s="2114"/>
      <c r="H22" s="1600"/>
      <c r="I22" s="1604"/>
      <c r="J22" s="2189"/>
      <c r="K22" s="2189"/>
      <c r="L22" s="2189"/>
      <c r="M22" s="2189"/>
      <c r="N22" s="2189"/>
      <c r="O22" s="2189"/>
      <c r="P22" s="2189"/>
      <c r="Q22" s="2189"/>
      <c r="R22" s="2189"/>
      <c r="S22" s="2189"/>
      <c r="T22" s="2189"/>
      <c r="U22" s="2189"/>
      <c r="V22" s="2189"/>
      <c r="W22" s="2189"/>
      <c r="X22" s="2189"/>
      <c r="Y22" s="2189"/>
      <c r="Z22" s="2189"/>
      <c r="AA22" s="2189"/>
      <c r="AB22" s="2189"/>
      <c r="AC22" s="2189"/>
      <c r="AD22" s="2189"/>
      <c r="AE22" s="2189"/>
      <c r="AF22" s="2189"/>
      <c r="AG22" s="2189"/>
      <c r="AH22" s="2189"/>
      <c r="AI22" s="2190"/>
      <c r="AJ22" s="1576"/>
      <c r="AK22" s="308"/>
      <c r="AL22" s="1576"/>
      <c r="AM22" s="1576"/>
      <c r="AN22" s="1576"/>
      <c r="AO22" s="1576"/>
      <c r="AP22" s="1576"/>
      <c r="AQ22" s="1576"/>
      <c r="AR22" s="1576"/>
      <c r="AS22" s="1576"/>
      <c r="AT22" s="1576"/>
      <c r="AU22" s="1576"/>
      <c r="AV22" s="1576"/>
      <c r="AW22" s="1576"/>
      <c r="AX22" s="1576"/>
      <c r="AY22" s="1576"/>
      <c r="AZ22" s="1576"/>
      <c r="BA22" s="1576"/>
      <c r="BB22" s="1576"/>
      <c r="BC22" s="1576"/>
      <c r="BD22" s="1576"/>
      <c r="BE22" s="1576"/>
      <c r="BF22" s="1576"/>
      <c r="BG22" s="1576"/>
      <c r="BH22" s="1576"/>
      <c r="BI22" s="1576"/>
      <c r="BJ22" s="1576"/>
      <c r="BK22" s="1576"/>
      <c r="BL22" s="1576"/>
      <c r="BM22" s="1556">
        <v>11</v>
      </c>
    </row>
    <row customHeight="1" ht="15">
      <c r="D23" s="2185" t="s">
        <v>90</v>
      </c>
      <c r="E23" s="2181" t="s">
        <v>293</v>
      </c>
      <c r="F23" s="2181" t="s">
        <v>296</v>
      </c>
      <c r="G23" s="2187" t="s">
        <v>19</v>
      </c>
      <c r="H23" s="1601"/>
      <c r="I23" s="2183"/>
      <c r="J23" s="2154"/>
      <c r="K23" s="1516"/>
      <c r="L23" s="2139"/>
      <c r="M23" s="2139"/>
      <c r="N23" s="1586"/>
      <c r="O23" s="2139"/>
      <c r="P23" s="2154"/>
      <c r="Q23" s="1587"/>
      <c r="R23" s="2139"/>
      <c r="S23" s="2139"/>
      <c r="T23" s="1588"/>
      <c r="U23" s="2139"/>
      <c r="V23" s="2154"/>
      <c r="W23" s="1589"/>
      <c r="X23" s="2139"/>
      <c r="Y23" s="2139"/>
      <c r="Z23" s="1586"/>
      <c r="AA23" s="2139"/>
      <c r="AB23" s="2154"/>
      <c r="AC23" s="1590"/>
      <c r="AD23" s="2139"/>
      <c r="AE23" s="2139"/>
      <c r="AF23" s="1515"/>
      <c r="AG23" s="1515"/>
      <c r="AH23" s="1591"/>
      <c r="AI23" s="1298"/>
      <c r="AJ23" s="1576"/>
      <c r="AK23" s="308" t="s">
        <v>98</v>
      </c>
      <c r="BM23" s="295">
        <v>14</v>
      </c>
    </row>
    <row customHeight="1" ht="14.699999999999998">
      <c r="D24" s="2185"/>
      <c r="E24" s="2181"/>
      <c r="F24" s="2181"/>
      <c r="G24" s="2188"/>
      <c r="H24" s="1602"/>
      <c r="I24" s="2184"/>
      <c r="J24" s="2155"/>
      <c r="K24" s="1612"/>
      <c r="L24" s="2140"/>
      <c r="M24" s="2140"/>
      <c r="N24" s="1592"/>
      <c r="O24" s="2140"/>
      <c r="P24" s="2155"/>
      <c r="Q24" s="1593"/>
      <c r="R24" s="2140"/>
      <c r="S24" s="2140"/>
      <c r="T24" s="1594"/>
      <c r="U24" s="2140"/>
      <c r="V24" s="2155"/>
      <c r="W24" s="1595"/>
      <c r="X24" s="2140"/>
      <c r="Y24" s="2140"/>
      <c r="Z24" s="1592"/>
      <c r="AA24" s="2140"/>
      <c r="AB24" s="2155"/>
      <c r="AC24" s="1596"/>
      <c r="AD24" s="2140"/>
      <c r="AE24" s="2140"/>
      <c r="AF24" s="1597"/>
      <c r="AG24" s="1597"/>
      <c r="AH24" s="2179"/>
      <c r="AI24" s="2180"/>
      <c r="AJ24" s="1576"/>
      <c r="BM24" s="295">
        <v>14</v>
      </c>
    </row>
    <row customHeight="1" ht="14.699999999999998">
      <c r="D25" s="2185"/>
      <c r="E25" s="2181"/>
      <c r="F25" s="2181"/>
      <c r="G25" s="2188"/>
      <c r="H25" s="1602"/>
      <c r="I25" s="2184"/>
      <c r="J25" s="2155"/>
      <c r="K25" s="1612"/>
      <c r="L25" s="2140"/>
      <c r="M25" s="2140"/>
      <c r="N25" s="1592"/>
      <c r="O25" s="2140"/>
      <c r="P25" s="2155"/>
      <c r="Q25" s="1593"/>
      <c r="R25" s="2140"/>
      <c r="S25" s="2140"/>
      <c r="T25" s="1594"/>
      <c r="U25" s="2140"/>
      <c r="V25" s="2155"/>
      <c r="W25" s="1595"/>
      <c r="X25" s="2140"/>
      <c r="Y25" s="2140"/>
      <c r="Z25" s="1514"/>
      <c r="AA25" s="1597"/>
      <c r="AB25" s="2179"/>
      <c r="AC25" s="2179"/>
      <c r="AD25" s="2179"/>
      <c r="AE25" s="2179"/>
      <c r="AF25" s="2179"/>
      <c r="AG25" s="2179"/>
      <c r="AH25" s="2179"/>
      <c r="AI25" s="2180"/>
      <c r="AJ25" s="1576"/>
      <c r="BM25" s="295">
        <v>14</v>
      </c>
    </row>
    <row customHeight="1" ht="14.699999999999998">
      <c r="D26" s="2185"/>
      <c r="E26" s="2181"/>
      <c r="F26" s="2181"/>
      <c r="G26" s="2188"/>
      <c r="H26" s="1602"/>
      <c r="I26" s="2184"/>
      <c r="J26" s="2155"/>
      <c r="K26" s="1612"/>
      <c r="L26" s="2140"/>
      <c r="M26" s="2140"/>
      <c r="N26" s="1592"/>
      <c r="O26" s="2140"/>
      <c r="P26" s="2155"/>
      <c r="Q26" s="1593"/>
      <c r="R26" s="2140"/>
      <c r="S26" s="2140"/>
      <c r="T26" s="1598"/>
      <c r="U26" s="1599"/>
      <c r="V26" s="2179"/>
      <c r="W26" s="2179"/>
      <c r="X26" s="2179"/>
      <c r="Y26" s="2179"/>
      <c r="Z26" s="2179"/>
      <c r="AA26" s="2179"/>
      <c r="AB26" s="2179"/>
      <c r="AC26" s="2179"/>
      <c r="AD26" s="2179"/>
      <c r="AE26" s="2179"/>
      <c r="AF26" s="2179"/>
      <c r="AG26" s="2179"/>
      <c r="AH26" s="2179"/>
      <c r="AI26" s="2180"/>
      <c r="AJ26" s="1576"/>
      <c r="BM26" s="295">
        <v>14</v>
      </c>
    </row>
    <row customHeight="1" ht="11.549999999999999">
      <c r="D27" s="2185"/>
      <c r="E27" s="2181"/>
      <c r="F27" s="2181"/>
      <c r="G27" s="2188"/>
      <c r="H27" s="1603"/>
      <c r="I27" s="2184"/>
      <c r="J27" s="2155"/>
      <c r="K27" s="1612"/>
      <c r="L27" s="2140"/>
      <c r="M27" s="2140"/>
      <c r="N27" s="1597"/>
      <c r="O27" s="1597"/>
      <c r="P27" s="2179"/>
      <c r="Q27" s="2179"/>
      <c r="R27" s="2179"/>
      <c r="S27" s="2179"/>
      <c r="T27" s="2179"/>
      <c r="U27" s="2179"/>
      <c r="V27" s="2179"/>
      <c r="W27" s="2179"/>
      <c r="X27" s="2179"/>
      <c r="Y27" s="2179"/>
      <c r="Z27" s="2179"/>
      <c r="AA27" s="2179"/>
      <c r="AB27" s="2179"/>
      <c r="AC27" s="2179"/>
      <c r="AD27" s="2179"/>
      <c r="AE27" s="2179"/>
      <c r="AF27" s="2179"/>
      <c r="AG27" s="2179"/>
      <c r="AH27" s="2179"/>
      <c r="AI27" s="2180"/>
      <c r="AJ27" s="1576"/>
      <c r="BM27" s="295">
        <v>11</v>
      </c>
    </row>
    <row s="1556" customFormat="1" customHeight="1" ht="11.549999999999999">
      <c r="D28" s="2191"/>
      <c r="E28" s="2192"/>
      <c r="F28" s="2182"/>
      <c r="G28" s="2114"/>
      <c r="H28" s="1600"/>
      <c r="I28" s="1604"/>
      <c r="J28" s="2189"/>
      <c r="K28" s="2189"/>
      <c r="L28" s="2189"/>
      <c r="M28" s="2189"/>
      <c r="N28" s="2189"/>
      <c r="O28" s="2189"/>
      <c r="P28" s="2189"/>
      <c r="Q28" s="2189"/>
      <c r="R28" s="2189"/>
      <c r="S28" s="2189"/>
      <c r="T28" s="2189"/>
      <c r="U28" s="2189"/>
      <c r="V28" s="2189"/>
      <c r="W28" s="2189"/>
      <c r="X28" s="2189"/>
      <c r="Y28" s="2189"/>
      <c r="Z28" s="2189"/>
      <c r="AA28" s="2189"/>
      <c r="AB28" s="2189"/>
      <c r="AC28" s="2189"/>
      <c r="AD28" s="2189"/>
      <c r="AE28" s="2189"/>
      <c r="AF28" s="2189"/>
      <c r="AG28" s="2189"/>
      <c r="AH28" s="2189"/>
      <c r="AI28" s="2190"/>
      <c r="AJ28" s="1576"/>
      <c r="AK28" s="308"/>
      <c r="AL28" s="1576"/>
      <c r="AM28" s="1576"/>
      <c r="AN28" s="1576"/>
      <c r="AO28" s="1576"/>
      <c r="AP28" s="1576"/>
      <c r="AQ28" s="1576"/>
      <c r="AR28" s="1576"/>
      <c r="AS28" s="1576"/>
      <c r="AT28" s="1576"/>
      <c r="AU28" s="1576"/>
      <c r="AV28" s="1576"/>
      <c r="AW28" s="1576"/>
      <c r="AX28" s="1576"/>
      <c r="AY28" s="1576"/>
      <c r="AZ28" s="1576"/>
      <c r="BA28" s="1576"/>
      <c r="BB28" s="1576"/>
      <c r="BC28" s="1576"/>
      <c r="BD28" s="1576"/>
      <c r="BE28" s="1576"/>
      <c r="BF28" s="1576"/>
      <c r="BG28" s="1576"/>
      <c r="BH28" s="1576"/>
      <c r="BI28" s="1576"/>
      <c r="BJ28" s="1576"/>
      <c r="BK28" s="1576"/>
      <c r="BL28" s="1576"/>
      <c r="BM28" s="1556">
        <v>11</v>
      </c>
    </row>
    <row customHeight="1" ht="15">
      <c r="D29" s="2185" t="s">
        <v>91</v>
      </c>
      <c r="E29" s="2181" t="s">
        <v>293</v>
      </c>
      <c r="F29" s="2181" t="s">
        <v>297</v>
      </c>
      <c r="G29" s="2187" t="s">
        <v>19</v>
      </c>
      <c r="H29" s="1601"/>
      <c r="I29" s="2183"/>
      <c r="J29" s="2154"/>
      <c r="K29" s="1516"/>
      <c r="L29" s="2139"/>
      <c r="M29" s="2139"/>
      <c r="N29" s="1586"/>
      <c r="O29" s="2139"/>
      <c r="P29" s="2154"/>
      <c r="Q29" s="1587"/>
      <c r="R29" s="2139"/>
      <c r="S29" s="2139"/>
      <c r="T29" s="1588"/>
      <c r="U29" s="2139"/>
      <c r="V29" s="2154"/>
      <c r="W29" s="1589"/>
      <c r="X29" s="2139"/>
      <c r="Y29" s="2139"/>
      <c r="Z29" s="1586"/>
      <c r="AA29" s="2139"/>
      <c r="AB29" s="2154"/>
      <c r="AC29" s="1590"/>
      <c r="AD29" s="2139"/>
      <c r="AE29" s="2139"/>
      <c r="AF29" s="1515"/>
      <c r="AG29" s="1515"/>
      <c r="AH29" s="1591"/>
      <c r="AI29" s="1298"/>
      <c r="AJ29" s="1576"/>
      <c r="BM29" s="295">
        <v>14</v>
      </c>
    </row>
    <row customHeight="1" ht="14.699999999999998">
      <c r="D30" s="2185"/>
      <c r="E30" s="2181"/>
      <c r="F30" s="2181"/>
      <c r="G30" s="2188"/>
      <c r="H30" s="1602"/>
      <c r="I30" s="2184"/>
      <c r="J30" s="2155"/>
      <c r="K30" s="1585"/>
      <c r="L30" s="2140"/>
      <c r="M30" s="2140"/>
      <c r="N30" s="1592"/>
      <c r="O30" s="2140"/>
      <c r="P30" s="2155"/>
      <c r="Q30" s="1593"/>
      <c r="R30" s="2140"/>
      <c r="S30" s="2140"/>
      <c r="T30" s="1594"/>
      <c r="U30" s="2140"/>
      <c r="V30" s="2155"/>
      <c r="W30" s="1595"/>
      <c r="X30" s="2140"/>
      <c r="Y30" s="2140"/>
      <c r="Z30" s="1592"/>
      <c r="AA30" s="2140"/>
      <c r="AB30" s="2155"/>
      <c r="AC30" s="1596"/>
      <c r="AD30" s="2140"/>
      <c r="AE30" s="2140"/>
      <c r="AF30" s="1597"/>
      <c r="AG30" s="1597"/>
      <c r="AH30" s="2179"/>
      <c r="AI30" s="2180"/>
      <c r="AJ30" s="1576"/>
      <c r="BM30" s="295">
        <v>14</v>
      </c>
    </row>
    <row customHeight="1" ht="14.699999999999998">
      <c r="D31" s="2185"/>
      <c r="E31" s="2181"/>
      <c r="F31" s="2181"/>
      <c r="G31" s="2188"/>
      <c r="H31" s="1602"/>
      <c r="I31" s="2184"/>
      <c r="J31" s="2155"/>
      <c r="K31" s="1585"/>
      <c r="L31" s="2140"/>
      <c r="M31" s="2140"/>
      <c r="N31" s="1592"/>
      <c r="O31" s="2140"/>
      <c r="P31" s="2155"/>
      <c r="Q31" s="1593"/>
      <c r="R31" s="2140"/>
      <c r="S31" s="2140"/>
      <c r="T31" s="1594"/>
      <c r="U31" s="2140"/>
      <c r="V31" s="2155"/>
      <c r="W31" s="1595"/>
      <c r="X31" s="2140"/>
      <c r="Y31" s="2140"/>
      <c r="Z31" s="1514"/>
      <c r="AA31" s="1597"/>
      <c r="AB31" s="2179"/>
      <c r="AC31" s="2179"/>
      <c r="AD31" s="2179"/>
      <c r="AE31" s="2179"/>
      <c r="AF31" s="2179"/>
      <c r="AG31" s="2179"/>
      <c r="AH31" s="2179"/>
      <c r="AI31" s="2180"/>
      <c r="AJ31" s="1576"/>
      <c r="BM31" s="295">
        <v>14</v>
      </c>
    </row>
    <row customHeight="1" ht="14.699999999999998">
      <c r="D32" s="2185"/>
      <c r="E32" s="2181"/>
      <c r="F32" s="2181"/>
      <c r="G32" s="2188"/>
      <c r="H32" s="1602"/>
      <c r="I32" s="2184"/>
      <c r="J32" s="2155"/>
      <c r="K32" s="1585"/>
      <c r="L32" s="2140"/>
      <c r="M32" s="2140"/>
      <c r="N32" s="1592"/>
      <c r="O32" s="2140"/>
      <c r="P32" s="2155"/>
      <c r="Q32" s="1593"/>
      <c r="R32" s="2140"/>
      <c r="S32" s="2140"/>
      <c r="T32" s="1598"/>
      <c r="U32" s="1599"/>
      <c r="V32" s="2179"/>
      <c r="W32" s="2179"/>
      <c r="X32" s="2179"/>
      <c r="Y32" s="2179"/>
      <c r="Z32" s="2179"/>
      <c r="AA32" s="2179"/>
      <c r="AB32" s="2179"/>
      <c r="AC32" s="2179"/>
      <c r="AD32" s="2179"/>
      <c r="AE32" s="2179"/>
      <c r="AF32" s="2179"/>
      <c r="AG32" s="2179"/>
      <c r="AH32" s="2179"/>
      <c r="AI32" s="2180"/>
      <c r="AJ32" s="1576"/>
      <c r="BM32" s="295">
        <v>14</v>
      </c>
    </row>
    <row customHeight="1" ht="11.549999999999999">
      <c r="D33" s="2185"/>
      <c r="E33" s="2181"/>
      <c r="F33" s="2181"/>
      <c r="G33" s="2188"/>
      <c r="H33" s="1603"/>
      <c r="I33" s="2184"/>
      <c r="J33" s="2155"/>
      <c r="K33" s="1585"/>
      <c r="L33" s="2140"/>
      <c r="M33" s="2140"/>
      <c r="N33" s="1597"/>
      <c r="O33" s="1597"/>
      <c r="P33" s="2179"/>
      <c r="Q33" s="2179"/>
      <c r="R33" s="2179"/>
      <c r="S33" s="2179"/>
      <c r="T33" s="2179"/>
      <c r="U33" s="2179"/>
      <c r="V33" s="2179"/>
      <c r="W33" s="2179"/>
      <c r="X33" s="2179"/>
      <c r="Y33" s="2179"/>
      <c r="Z33" s="2179"/>
      <c r="AA33" s="2179"/>
      <c r="AB33" s="2179"/>
      <c r="AC33" s="2179"/>
      <c r="AD33" s="2179"/>
      <c r="AE33" s="2179"/>
      <c r="AF33" s="2179"/>
      <c r="AG33" s="2179"/>
      <c r="AH33" s="2179"/>
      <c r="AI33" s="2180"/>
      <c r="AJ33" s="1576"/>
      <c r="BM33" s="295">
        <v>11</v>
      </c>
    </row>
    <row s="1556" customFormat="1" customHeight="1" ht="11.549999999999999">
      <c r="D34" s="2191"/>
      <c r="E34" s="2192"/>
      <c r="F34" s="2182"/>
      <c r="G34" s="2114"/>
      <c r="H34" s="1600"/>
      <c r="I34" s="1604"/>
      <c r="J34" s="2189"/>
      <c r="K34" s="2189"/>
      <c r="L34" s="2189"/>
      <c r="M34" s="2189"/>
      <c r="N34" s="2189"/>
      <c r="O34" s="2189"/>
      <c r="P34" s="2189"/>
      <c r="Q34" s="2189"/>
      <c r="R34" s="2189"/>
      <c r="S34" s="2189"/>
      <c r="T34" s="2189"/>
      <c r="U34" s="2189"/>
      <c r="V34" s="2189"/>
      <c r="W34" s="2189"/>
      <c r="X34" s="2189"/>
      <c r="Y34" s="2189"/>
      <c r="Z34" s="2189"/>
      <c r="AA34" s="2189"/>
      <c r="AB34" s="2189"/>
      <c r="AC34" s="2189"/>
      <c r="AD34" s="2189"/>
      <c r="AE34" s="2189"/>
      <c r="AF34" s="2189"/>
      <c r="AG34" s="2189"/>
      <c r="AH34" s="2189"/>
      <c r="AI34" s="2190"/>
      <c r="AJ34" s="1576"/>
      <c r="AK34" s="308"/>
      <c r="AL34" s="1576"/>
      <c r="AM34" s="1576"/>
      <c r="AN34" s="1576"/>
      <c r="AO34" s="1576"/>
      <c r="AP34" s="1576"/>
      <c r="AQ34" s="1576"/>
      <c r="AR34" s="1576"/>
      <c r="AS34" s="1576"/>
      <c r="AT34" s="1576"/>
      <c r="AU34" s="1576"/>
      <c r="AV34" s="1576"/>
      <c r="AW34" s="1576"/>
      <c r="AX34" s="1576"/>
      <c r="AY34" s="1576"/>
      <c r="AZ34" s="1576"/>
      <c r="BA34" s="1576"/>
      <c r="BB34" s="1576"/>
      <c r="BC34" s="1576"/>
      <c r="BD34" s="1576"/>
      <c r="BE34" s="1576"/>
      <c r="BF34" s="1576"/>
      <c r="BG34" s="1576"/>
      <c r="BH34" s="1576"/>
      <c r="BI34" s="1576"/>
      <c r="BJ34" s="1576"/>
      <c r="BK34" s="1576"/>
      <c r="BL34" s="1576"/>
      <c r="BM34" s="1556">
        <v>11</v>
      </c>
    </row>
    <row customHeight="1" ht="15">
      <c r="D35" s="2185" t="s">
        <v>111</v>
      </c>
      <c r="E35" s="2181" t="s">
        <v>293</v>
      </c>
      <c r="F35" s="2181" t="s">
        <v>298</v>
      </c>
      <c r="G35" s="2187" t="s">
        <v>19</v>
      </c>
      <c r="H35" s="1601"/>
      <c r="I35" s="2183"/>
      <c r="J35" s="2154"/>
      <c r="K35" s="1516"/>
      <c r="L35" s="2139"/>
      <c r="M35" s="2139"/>
      <c r="N35" s="1586"/>
      <c r="O35" s="2139"/>
      <c r="P35" s="2154"/>
      <c r="Q35" s="1587"/>
      <c r="R35" s="2139"/>
      <c r="S35" s="2139"/>
      <c r="T35" s="1588"/>
      <c r="U35" s="2139"/>
      <c r="V35" s="2154"/>
      <c r="W35" s="1589"/>
      <c r="X35" s="2139"/>
      <c r="Y35" s="2139"/>
      <c r="Z35" s="1586"/>
      <c r="AA35" s="2139"/>
      <c r="AB35" s="2154"/>
      <c r="AC35" s="1590"/>
      <c r="AD35" s="2139"/>
      <c r="AE35" s="2139"/>
      <c r="AF35" s="1515"/>
      <c r="AG35" s="1515"/>
      <c r="AH35" s="1591"/>
      <c r="AI35" s="1298"/>
      <c r="AJ35" s="1576"/>
      <c r="BM35" s="295">
        <v>14</v>
      </c>
    </row>
    <row customHeight="1" ht="14.699999999999998">
      <c r="D36" s="2185"/>
      <c r="E36" s="2181"/>
      <c r="F36" s="2181"/>
      <c r="G36" s="2188"/>
      <c r="H36" s="1602"/>
      <c r="I36" s="2184"/>
      <c r="J36" s="2155"/>
      <c r="K36" s="1585"/>
      <c r="L36" s="2140"/>
      <c r="M36" s="2140"/>
      <c r="N36" s="1592"/>
      <c r="O36" s="2140"/>
      <c r="P36" s="2155"/>
      <c r="Q36" s="1593"/>
      <c r="R36" s="2140"/>
      <c r="S36" s="2140"/>
      <c r="T36" s="1594"/>
      <c r="U36" s="2140"/>
      <c r="V36" s="2155"/>
      <c r="W36" s="1595"/>
      <c r="X36" s="2140"/>
      <c r="Y36" s="2140"/>
      <c r="Z36" s="1592"/>
      <c r="AA36" s="2140"/>
      <c r="AB36" s="2155"/>
      <c r="AC36" s="1596"/>
      <c r="AD36" s="2140"/>
      <c r="AE36" s="2140"/>
      <c r="AF36" s="1597"/>
      <c r="AG36" s="1597"/>
      <c r="AH36" s="2179"/>
      <c r="AI36" s="2180"/>
      <c r="AJ36" s="1576"/>
      <c r="BM36" s="295">
        <v>14</v>
      </c>
    </row>
    <row customHeight="1" ht="14.699999999999998">
      <c r="D37" s="2185"/>
      <c r="E37" s="2181"/>
      <c r="F37" s="2181"/>
      <c r="G37" s="2188"/>
      <c r="H37" s="1602"/>
      <c r="I37" s="2184"/>
      <c r="J37" s="2155"/>
      <c r="K37" s="1585"/>
      <c r="L37" s="2140"/>
      <c r="M37" s="2140"/>
      <c r="N37" s="1592"/>
      <c r="O37" s="2140"/>
      <c r="P37" s="2155"/>
      <c r="Q37" s="1593"/>
      <c r="R37" s="2140"/>
      <c r="S37" s="2140"/>
      <c r="T37" s="1594"/>
      <c r="U37" s="2140"/>
      <c r="V37" s="2155"/>
      <c r="W37" s="1595"/>
      <c r="X37" s="2140"/>
      <c r="Y37" s="2140"/>
      <c r="Z37" s="1514"/>
      <c r="AA37" s="1597"/>
      <c r="AB37" s="2179"/>
      <c r="AC37" s="2179"/>
      <c r="AD37" s="2179"/>
      <c r="AE37" s="2179"/>
      <c r="AF37" s="2179"/>
      <c r="AG37" s="2179"/>
      <c r="AH37" s="2179"/>
      <c r="AI37" s="2180"/>
      <c r="AJ37" s="1576"/>
      <c r="BM37" s="295">
        <v>14</v>
      </c>
    </row>
    <row customHeight="1" ht="14.699999999999998">
      <c r="D38" s="2185"/>
      <c r="E38" s="2181"/>
      <c r="F38" s="2181"/>
      <c r="G38" s="2188"/>
      <c r="H38" s="1602"/>
      <c r="I38" s="2184"/>
      <c r="J38" s="2155"/>
      <c r="K38" s="1585"/>
      <c r="L38" s="2140"/>
      <c r="M38" s="2140"/>
      <c r="N38" s="1592"/>
      <c r="O38" s="2140"/>
      <c r="P38" s="2155"/>
      <c r="Q38" s="1593"/>
      <c r="R38" s="2140"/>
      <c r="S38" s="2140"/>
      <c r="T38" s="1598"/>
      <c r="U38" s="1599"/>
      <c r="V38" s="2179"/>
      <c r="W38" s="2179"/>
      <c r="X38" s="2179"/>
      <c r="Y38" s="2179"/>
      <c r="Z38" s="2179"/>
      <c r="AA38" s="2179"/>
      <c r="AB38" s="2179"/>
      <c r="AC38" s="2179"/>
      <c r="AD38" s="2179"/>
      <c r="AE38" s="2179"/>
      <c r="AF38" s="2179"/>
      <c r="AG38" s="2179"/>
      <c r="AH38" s="2179"/>
      <c r="AI38" s="2180"/>
      <c r="AJ38" s="1576"/>
      <c r="BM38" s="295">
        <v>14</v>
      </c>
    </row>
    <row customHeight="1" ht="11.549999999999999">
      <c r="D39" s="2185"/>
      <c r="E39" s="2181"/>
      <c r="F39" s="2181"/>
      <c r="G39" s="2188"/>
      <c r="H39" s="1603"/>
      <c r="I39" s="2184"/>
      <c r="J39" s="2155"/>
      <c r="K39" s="1585"/>
      <c r="L39" s="2140"/>
      <c r="M39" s="2140"/>
      <c r="N39" s="1597"/>
      <c r="O39" s="1597"/>
      <c r="P39" s="2179"/>
      <c r="Q39" s="2179"/>
      <c r="R39" s="2179"/>
      <c r="S39" s="2179"/>
      <c r="T39" s="2179"/>
      <c r="U39" s="2179"/>
      <c r="V39" s="2179"/>
      <c r="W39" s="2179"/>
      <c r="X39" s="2179"/>
      <c r="Y39" s="2179"/>
      <c r="Z39" s="2179"/>
      <c r="AA39" s="2179"/>
      <c r="AB39" s="2179"/>
      <c r="AC39" s="2179"/>
      <c r="AD39" s="2179"/>
      <c r="AE39" s="2179"/>
      <c r="AF39" s="2179"/>
      <c r="AG39" s="2179"/>
      <c r="AH39" s="2179"/>
      <c r="AI39" s="2180"/>
      <c r="AJ39" s="1576"/>
      <c r="BM39" s="295">
        <v>11</v>
      </c>
    </row>
    <row s="1556" customFormat="1" customHeight="1" ht="11.549999999999999">
      <c r="D40" s="2185"/>
      <c r="E40" s="2181"/>
      <c r="F40" s="2186"/>
      <c r="G40" s="2114"/>
      <c r="H40" s="1600"/>
      <c r="I40" s="1604"/>
      <c r="J40" s="2189"/>
      <c r="K40" s="2189"/>
      <c r="L40" s="2189"/>
      <c r="M40" s="2189"/>
      <c r="N40" s="2189"/>
      <c r="O40" s="2189"/>
      <c r="P40" s="2189"/>
      <c r="Q40" s="2189"/>
      <c r="R40" s="2189"/>
      <c r="S40" s="2189"/>
      <c r="T40" s="2189"/>
      <c r="U40" s="2189"/>
      <c r="V40" s="2189"/>
      <c r="W40" s="2189"/>
      <c r="X40" s="2189"/>
      <c r="Y40" s="2189"/>
      <c r="Z40" s="2189"/>
      <c r="AA40" s="2189"/>
      <c r="AB40" s="2189"/>
      <c r="AC40" s="2189"/>
      <c r="AD40" s="2189"/>
      <c r="AE40" s="2189"/>
      <c r="AF40" s="2189"/>
      <c r="AG40" s="2189"/>
      <c r="AH40" s="2189"/>
      <c r="AI40" s="2190"/>
      <c r="AJ40" s="1576"/>
      <c r="AK40" s="308"/>
      <c r="AL40" s="1576"/>
      <c r="AM40" s="1576"/>
      <c r="AN40" s="1576"/>
      <c r="AO40" s="1576"/>
      <c r="AP40" s="1576"/>
      <c r="AQ40" s="1576"/>
      <c r="AR40" s="1576"/>
      <c r="AS40" s="1576"/>
      <c r="AT40" s="1576"/>
      <c r="AU40" s="1576"/>
      <c r="AV40" s="1576"/>
      <c r="AW40" s="1576"/>
      <c r="AX40" s="1576"/>
      <c r="AY40" s="1576"/>
      <c r="AZ40" s="1576"/>
      <c r="BA40" s="1576"/>
      <c r="BB40" s="1576"/>
      <c r="BC40" s="1576"/>
      <c r="BD40" s="1576"/>
      <c r="BE40" s="1576"/>
      <c r="BF40" s="1576"/>
      <c r="BG40" s="1576"/>
      <c r="BH40" s="1576"/>
      <c r="BI40" s="1576"/>
      <c r="BJ40" s="1576"/>
      <c r="BK40" s="1576"/>
      <c r="BL40" s="1576"/>
      <c r="BM40" s="1556">
        <v>11</v>
      </c>
    </row>
    <row customHeight="1" ht="11.549999999999999">
      <c r="AK41" s="425"/>
      <c r="BM41" s="295">
        <v>11</v>
      </c>
    </row>
    <row customHeight="1" ht="11.549999999999999">
      <c r="AK42" s="425"/>
      <c r="BM42" s="295">
        <v>11</v>
      </c>
    </row>
    <row customHeight="1" ht="11.549999999999999">
      <c r="AK43" s="425"/>
      <c r="BM43" s="295">
        <v>11</v>
      </c>
    </row>
    <row customHeight="1" ht="11.549999999999999">
      <c r="AK44" s="425"/>
      <c r="BM44" s="295">
        <v>11</v>
      </c>
    </row>
    <row customHeight="1" ht="11.549999999999999">
      <c r="AK45" s="425"/>
      <c r="BM45" s="295">
        <v>11</v>
      </c>
    </row>
    <row customHeight="1" ht="11.549999999999999">
      <c r="AK46" s="425"/>
      <c r="BM46" s="295">
        <v>11</v>
      </c>
    </row>
    <row customHeight="1" ht="11.549999999999999">
      <c r="AK47" s="425"/>
      <c r="BM47" s="295">
        <v>11</v>
      </c>
    </row>
    <row customHeight="1" ht="11.549999999999999">
      <c r="AK48" s="425"/>
      <c r="BM48" s="295">
        <v>11</v>
      </c>
    </row>
    <row customHeight="1" ht="11.549999999999999">
      <c r="AK49" s="425"/>
      <c r="BM49" s="295">
        <v>11</v>
      </c>
    </row>
    <row customHeight="1" ht="11.25" hidden="1">
      <c r="A50" s="295" t="s">
        <v>82</v>
      </c>
      <c r="B50" s="295">
        <v>0</v>
      </c>
      <c r="C50" s="295">
        <v>3</v>
      </c>
      <c r="D50" s="295">
        <v>3</v>
      </c>
      <c r="E50" s="295">
        <v>15</v>
      </c>
      <c r="F50" s="295">
        <v>15</v>
      </c>
      <c r="G50" s="295">
        <v>11</v>
      </c>
      <c r="H50" s="295">
        <v>3</v>
      </c>
      <c r="I50" s="295">
        <v>3</v>
      </c>
      <c r="J50" s="295">
        <v>12</v>
      </c>
      <c r="K50" s="295">
        <v>0</v>
      </c>
      <c r="L50" s="295">
        <v>10</v>
      </c>
      <c r="M50" s="295">
        <v>10</v>
      </c>
      <c r="N50" s="295">
        <v>3</v>
      </c>
      <c r="O50" s="295">
        <v>3</v>
      </c>
      <c r="P50" s="295">
        <v>19</v>
      </c>
      <c r="Q50" s="295">
        <v>0</v>
      </c>
      <c r="R50" s="295">
        <v>10</v>
      </c>
      <c r="S50" s="295">
        <v>10</v>
      </c>
      <c r="T50" s="295">
        <v>3</v>
      </c>
      <c r="U50" s="295">
        <v>3</v>
      </c>
      <c r="V50" s="295">
        <v>25</v>
      </c>
      <c r="W50" s="295">
        <v>0</v>
      </c>
      <c r="X50" s="295">
        <v>10</v>
      </c>
      <c r="Y50" s="295">
        <v>10</v>
      </c>
      <c r="Z50" s="295">
        <v>3</v>
      </c>
      <c r="AA50" s="295">
        <v>3</v>
      </c>
      <c r="AB50" s="295">
        <v>16</v>
      </c>
      <c r="AC50" s="295">
        <v>0</v>
      </c>
      <c r="AD50" s="295">
        <v>10</v>
      </c>
      <c r="AE50" s="295">
        <v>10</v>
      </c>
      <c r="AF50" s="295">
        <v>3</v>
      </c>
      <c r="AG50" s="295">
        <v>3</v>
      </c>
      <c r="AH50" s="295">
        <v>8</v>
      </c>
      <c r="AI50" s="295">
        <v>21</v>
      </c>
      <c r="AJ50" s="425">
        <v>8</v>
      </c>
      <c r="AK50" s="308">
        <v>8</v>
      </c>
      <c r="AL50" s="425">
        <v>8</v>
      </c>
      <c r="AM50" s="425">
        <v>8</v>
      </c>
      <c r="AN50" s="425">
        <v>8</v>
      </c>
      <c r="AO50" s="425">
        <v>8</v>
      </c>
      <c r="AP50" s="425">
        <v>8</v>
      </c>
      <c r="AQ50" s="425">
        <v>8</v>
      </c>
      <c r="AR50" s="425">
        <v>8</v>
      </c>
      <c r="AS50" s="425">
        <v>8</v>
      </c>
      <c r="AT50" s="425">
        <v>8</v>
      </c>
      <c r="AU50" s="425">
        <v>8</v>
      </c>
      <c r="AV50" s="425">
        <v>8</v>
      </c>
      <c r="AW50" s="425">
        <v>8</v>
      </c>
      <c r="AX50" s="425">
        <v>8</v>
      </c>
      <c r="AY50" s="425">
        <v>8</v>
      </c>
      <c r="AZ50" s="425">
        <v>8</v>
      </c>
      <c r="BA50" s="425">
        <v>8</v>
      </c>
      <c r="BB50" s="425">
        <v>8</v>
      </c>
      <c r="BC50" s="425">
        <v>8</v>
      </c>
      <c r="BD50" s="425">
        <v>8</v>
      </c>
      <c r="BE50" s="425">
        <v>8</v>
      </c>
      <c r="BF50" s="425">
        <v>8</v>
      </c>
      <c r="BG50" s="425">
        <v>8</v>
      </c>
      <c r="BH50" s="425">
        <v>8</v>
      </c>
      <c r="BI50" s="425">
        <v>8</v>
      </c>
      <c r="BJ50" s="425">
        <v>8</v>
      </c>
      <c r="BK50" s="425">
        <v>8</v>
      </c>
      <c r="BL50" s="425">
        <v>8</v>
      </c>
      <c r="BM50" s="295">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EEE557-604F-8B17-CD1A-C691583BFB96}"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2" width="1.7109375" customWidth="1"/>
    <col min="2" max="2" style="1852" width="34.57421875" customWidth="1"/>
    <col min="3" max="3" style="1852" width="85.00390625" customWidth="1"/>
    <col min="4" max="4" style="1852" width="17.00390625" customWidth="1"/>
    <col min="5" max="5" style="1852" width="8.00390625" customWidth="1"/>
    <col min="6" max="6" style="1852" width="9.140625" hidden="1"/>
  </cols>
  <sheetData>
    <row customHeight="1" ht="3">
      <c r="F1" s="91" t="s">
        <v>14</v>
      </c>
    </row>
    <row customHeight="1" ht="22.5">
      <c r="B2" s="2615" t="s">
        <v>1899</v>
      </c>
      <c r="C2" s="2502"/>
      <c r="D2" s="2502"/>
      <c r="E2" s="270"/>
      <c r="F2" s="91">
        <v>22</v>
      </c>
    </row>
    <row customHeight="1" ht="3">
      <c r="F3" s="91">
        <v>3</v>
      </c>
    </row>
    <row customHeight="1" ht="23.25">
      <c r="B4" s="2616" t="s">
        <v>1900</v>
      </c>
      <c r="C4" s="385" t="s">
        <v>1901</v>
      </c>
      <c r="D4" s="385" t="s">
        <v>1902</v>
      </c>
      <c r="F4" s="91">
        <v>22</v>
      </c>
    </row>
    <row customHeight="1" ht="11.25" hidden="1">
      <c r="A5" s="91" t="s">
        <v>82</v>
      </c>
      <c r="B5" s="91">
        <v>34</v>
      </c>
      <c r="C5" s="91">
        <v>85</v>
      </c>
      <c r="D5" s="91">
        <v>17</v>
      </c>
      <c r="E5" s="91">
        <v>8</v>
      </c>
      <c r="F5" s="91">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9D75FF-AA06-7125-E89E-4AD74F5D9762}"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2" width="26.57421875" customWidth="1"/>
    <col min="2" max="2" style="1852" width="10.00390625" customWidth="1"/>
    <col min="3" max="3" style="1852" width="9.140625"/>
    <col min="4" max="4" style="1852" width="11.140625" customWidth="1"/>
    <col min="5" max="5" style="1852" width="16.57421875" customWidth="1"/>
    <col min="6" max="6" style="1852" width="16.28125" customWidth="1"/>
    <col min="7" max="7" style="1852" width="19.140625" customWidth="1"/>
    <col min="8" max="11" style="1852" width="10.00390625" customWidth="1"/>
    <col min="12" max="12" style="1852" width="12.7109375" customWidth="1"/>
    <col min="13" max="13" style="1852" width="61.28125" customWidth="1"/>
    <col min="14" max="14" style="1852" width="10.00390625" customWidth="1"/>
    <col min="15" max="17" style="1852" width="23.7109375" customWidth="1"/>
    <col min="18" max="18" style="1852" width="11.7109375" customWidth="1"/>
    <col min="19" max="19" style="1852" width="8.57421875" customWidth="1"/>
    <col min="20" max="20" style="1852" width="11.7109375" customWidth="1"/>
    <col min="21" max="21" style="1852" width="8.57421875" customWidth="1"/>
    <col min="22" max="22" style="1852" width="4.7109375" customWidth="1"/>
    <col min="23" max="23" style="1852" width="115.7109375" customWidth="1"/>
    <col min="24" max="24" style="1852" width="115.28125" customWidth="1"/>
    <col min="25" max="27" style="1852" width="9.140625"/>
    <col min="28" max="28" style="1852" width="115.7109375" customWidth="1"/>
    <col min="29" max="29" style="1852" width="9.140625"/>
    <col min="30" max="90" style="1852" width="115.7109375" customWidth="1"/>
    <col min="91" max="184" style="1852" width="9.140625"/>
  </cols>
  <sheetData>
    <row r="2" s="1817" customFormat="1" customHeight="1" ht="17.25">
      <c r="A2" s="1817" t="s">
        <v>1903</v>
      </c>
    </row>
    <row r="4" s="266" customFormat="1" customHeight="1" ht="15">
      <c r="C4" s="1818"/>
      <c r="D4" s="115"/>
      <c r="E4" s="379"/>
    </row>
    <row r="6" s="1817" customFormat="1" customHeight="1" ht="17.25">
      <c r="A6" s="1817" t="s">
        <v>1904</v>
      </c>
    </row>
    <row r="8" s="266" customFormat="1" customHeight="1" ht="17.25">
      <c r="C8" s="1819"/>
      <c r="D8" s="115"/>
      <c r="E8" s="116"/>
    </row>
    <row r="11" s="1817" customFormat="1" customHeight="1" ht="17.25">
      <c r="A11" s="1817" t="s">
        <v>1905</v>
      </c>
    </row>
    <row r="13" s="1821" customFormat="1" customHeight="1" ht="15">
      <c r="A13" s="2219">
        <v>1</v>
      </c>
      <c r="B13" s="1162"/>
      <c r="C13" s="803" t="s">
        <v>689</v>
      </c>
      <c r="D13" s="1820"/>
      <c r="E13" s="1807">
        <f>A13</f>
        <v>1</v>
      </c>
      <c r="F13" s="806"/>
      <c r="G13" s="542" t="str">
        <f>"Территория "&amp;E13</f>
        <v>Территория 1</v>
      </c>
      <c r="H13" s="794"/>
      <c r="I13" s="794"/>
      <c r="J13" s="791"/>
      <c r="K13" s="1626"/>
      <c r="L13" s="1626"/>
      <c r="M13" s="1626"/>
      <c r="N13" s="228"/>
      <c r="O13" s="1626"/>
      <c r="P13" s="227"/>
      <c r="Q13" s="227"/>
      <c r="R13" s="227"/>
      <c r="S13" s="227"/>
    </row>
    <row s="1852" customFormat="1" customHeight="1" ht="15">
      <c r="A14" s="2219"/>
      <c r="B14" s="1162">
        <v>1</v>
      </c>
      <c r="C14" s="1162"/>
      <c r="D14" s="802"/>
      <c r="E14" s="1815" t="str">
        <f>A13&amp;"."&amp;B14</f>
        <v>1.1</v>
      </c>
      <c r="F14" s="805">
        <f>$F$20</f>
        <v>0</v>
      </c>
      <c r="G14" s="795"/>
      <c r="H14" s="795"/>
      <c r="I14" s="793"/>
      <c r="J14" s="1626"/>
      <c r="K14" s="1638"/>
      <c r="L14" s="1638"/>
      <c r="M14" s="1626" t="str">
        <f t="array" ref="M14:M14">IF(ISERROR(MATCH(MID(N14,1,250),MID(note_ter,1,250),0)),"n","y")</f>
        <v>n</v>
      </c>
      <c r="N14" s="1638"/>
      <c r="O14" s="1626" t="str">
        <f>H14&amp;"("&amp;I14&amp;")"</f>
        <v>()</v>
      </c>
      <c r="P14" s="1162"/>
      <c r="Q14" s="1162"/>
      <c r="R14" s="422"/>
      <c r="S14" s="1162"/>
      <c r="T14" s="1162"/>
      <c r="U14" s="1162"/>
      <c r="V14" s="424"/>
      <c r="W14" s="424"/>
      <c r="X14" s="421"/>
      <c r="Y14" s="421"/>
      <c r="Z14" s="421"/>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1"/>
      <c r="BJ14" s="421"/>
      <c r="BK14" s="421"/>
      <c r="BL14" s="421"/>
      <c r="BM14" s="421"/>
      <c r="BN14" s="421"/>
      <c r="BO14" s="421"/>
      <c r="BP14" s="421"/>
      <c r="BQ14" s="421"/>
      <c r="BR14" s="421"/>
      <c r="BS14" s="424"/>
      <c r="BT14" s="424"/>
      <c r="BU14" s="424"/>
      <c r="BV14" s="424"/>
      <c r="BW14" s="424"/>
      <c r="BX14" s="424"/>
      <c r="BY14" s="424"/>
      <c r="BZ14" s="424"/>
      <c r="CA14" s="424"/>
      <c r="CB14" s="424"/>
    </row>
    <row s="1852" customFormat="1" customHeight="1" ht="15">
      <c r="A15" s="2219"/>
      <c r="B15" s="1162"/>
      <c r="C15" s="414"/>
      <c r="D15" s="803"/>
      <c r="E15" s="423"/>
      <c r="F15" s="179"/>
      <c r="G15" s="417" t="s">
        <v>102</v>
      </c>
      <c r="H15" s="189"/>
      <c r="I15" s="426"/>
      <c r="J15" s="1638"/>
      <c r="K15" s="1638"/>
      <c r="L15" s="1638"/>
      <c r="M15" s="1638"/>
      <c r="N15" s="1626"/>
      <c r="O15" s="1638"/>
      <c r="P15" s="1162"/>
      <c r="Q15" s="1162"/>
      <c r="R15" s="422"/>
      <c r="S15" s="1162"/>
      <c r="T15" s="1162"/>
      <c r="U15" s="1162"/>
      <c r="V15" s="424"/>
      <c r="W15" s="424"/>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4"/>
      <c r="BT15" s="424"/>
      <c r="BU15" s="424"/>
      <c r="BV15" s="424"/>
      <c r="BW15" s="424"/>
      <c r="BX15" s="424"/>
      <c r="BY15" s="424"/>
      <c r="BZ15" s="424"/>
      <c r="CA15" s="424"/>
      <c r="CB15" s="424"/>
    </row>
    <row r="17" s="1817" customFormat="1" customHeight="1" ht="17.25">
      <c r="A17" s="1817" t="s">
        <v>1906</v>
      </c>
    </row>
    <row r="19" s="1852" customFormat="1" customHeight="1" ht="15">
      <c r="A19" s="1884"/>
      <c r="B19" s="1368">
        <v>1</v>
      </c>
      <c r="C19" s="1368"/>
      <c r="D19" s="802" t="s">
        <v>689</v>
      </c>
      <c r="E19" s="1880"/>
      <c r="F19" s="1885">
        <f>$F$20</f>
        <v>0</v>
      </c>
      <c r="G19" s="1889"/>
      <c r="H19" s="1889"/>
      <c r="I19" s="1887"/>
      <c r="J19" s="1626"/>
      <c r="K19" s="1638"/>
      <c r="L19" s="1638"/>
      <c r="M19" s="1626" t="str">
        <f t="array" ref="M19:M19">IF(ISERROR(MATCH(MID(N19,1,250),MID(note_ter,1,250),0)),"n","y")</f>
        <v>n</v>
      </c>
      <c r="N19" s="1638"/>
      <c r="O19" s="1626" t="str">
        <f>H19&amp;"("&amp;I19&amp;")"</f>
        <v>()</v>
      </c>
      <c r="P19" s="1368"/>
      <c r="Q19" s="1368"/>
      <c r="R19" s="422"/>
      <c r="S19" s="1368"/>
      <c r="T19" s="1368"/>
      <c r="U19" s="1368"/>
      <c r="V19" s="835"/>
      <c r="W19" s="835"/>
      <c r="X19" s="629"/>
      <c r="Y19" s="629"/>
      <c r="Z19" s="629"/>
      <c r="AA19" s="629"/>
      <c r="AB19" s="629"/>
      <c r="AC19" s="629"/>
      <c r="AD19" s="629"/>
      <c r="AE19" s="629"/>
      <c r="AF19" s="629"/>
      <c r="AG19" s="629"/>
      <c r="AH19" s="629"/>
      <c r="AI19" s="629"/>
      <c r="AJ19" s="629"/>
      <c r="AK19" s="629"/>
      <c r="AL19" s="629"/>
      <c r="AM19" s="629"/>
      <c r="AN19" s="629"/>
      <c r="AO19" s="629"/>
      <c r="AP19" s="629"/>
      <c r="AQ19" s="629"/>
      <c r="AR19" s="629"/>
      <c r="AS19" s="629"/>
      <c r="AT19" s="629"/>
      <c r="AU19" s="629"/>
      <c r="AV19" s="629"/>
      <c r="AW19" s="629"/>
      <c r="AX19" s="629"/>
      <c r="AY19" s="629"/>
      <c r="AZ19" s="629"/>
      <c r="BA19" s="629"/>
      <c r="BB19" s="629"/>
      <c r="BC19" s="629"/>
      <c r="BD19" s="629"/>
      <c r="BE19" s="629"/>
      <c r="BF19" s="629"/>
      <c r="BG19" s="629"/>
      <c r="BH19" s="629"/>
      <c r="BI19" s="629"/>
      <c r="BJ19" s="629"/>
      <c r="BK19" s="629"/>
      <c r="BL19" s="629"/>
      <c r="BM19" s="629"/>
      <c r="BN19" s="629"/>
      <c r="BO19" s="629"/>
      <c r="BP19" s="629"/>
      <c r="BQ19" s="629"/>
      <c r="BR19" s="629"/>
      <c r="BS19" s="835"/>
      <c r="BT19" s="835"/>
      <c r="BU19" s="835"/>
      <c r="BV19" s="835"/>
      <c r="BW19" s="835"/>
      <c r="BX19" s="835"/>
      <c r="BY19" s="835"/>
      <c r="BZ19" s="835"/>
      <c r="CA19" s="835"/>
      <c r="CB19" s="835"/>
    </row>
    <row r="21" s="1852" customFormat="1" customHeight="1" ht="15">
      <c r="A21" s="1817" t="s">
        <v>1907</v>
      </c>
      <c r="B21" s="1817"/>
      <c r="C21" s="1817"/>
      <c r="D21" s="1817"/>
      <c r="E21" s="1817"/>
      <c r="F21" s="1817"/>
      <c r="G21" s="1817"/>
      <c r="H21" s="1817"/>
      <c r="I21" s="1817"/>
      <c r="J21" s="1817"/>
      <c r="K21" s="1817"/>
      <c r="L21" s="1817"/>
      <c r="M21" s="1817"/>
      <c r="N21" s="1817"/>
      <c r="O21" s="1817"/>
      <c r="P21" s="1817"/>
      <c r="Q21" s="1817"/>
      <c r="R21" s="1817"/>
      <c r="S21" s="1817"/>
      <c r="T21" s="1817"/>
      <c r="U21" s="186"/>
      <c r="V21" s="1817"/>
      <c r="W21" s="1817"/>
    </row>
    <row s="1852" customFormat="1" customHeight="1" ht="15">
      <c r="U22" s="187"/>
    </row>
    <row s="1855" customFormat="1" customHeight="1" ht="15">
      <c r="A23" s="425"/>
      <c r="B23" s="425"/>
      <c r="C23" s="1730" t="s">
        <v>689</v>
      </c>
      <c r="D23" s="2110" t="s">
        <v>109</v>
      </c>
      <c r="E23" s="2111"/>
      <c r="F23" s="2109" t="s">
        <v>19</v>
      </c>
      <c r="G23" s="2559"/>
      <c r="H23" s="2129">
        <v>1</v>
      </c>
      <c r="I23" s="2561" t="str">
        <f>IF(U23="","",INDEX(TERRITORY_MR_LIST,MATCH(U23,TERRITORY_LIST_ID,0)))</f>
        <v/>
      </c>
      <c r="J23" s="2109" t="s">
        <v>19</v>
      </c>
      <c r="K23" s="834"/>
      <c r="L23" s="1784" t="s">
        <v>109</v>
      </c>
      <c r="M23" s="605"/>
      <c r="N23" s="606"/>
      <c r="O23" s="606"/>
      <c r="P23" s="606"/>
      <c r="Q23" s="606"/>
      <c r="R23" s="606"/>
      <c r="S23" s="606"/>
      <c r="T23" s="606"/>
      <c r="U23" s="607"/>
      <c r="V23" s="606"/>
      <c r="W23" s="606"/>
      <c r="X23" s="597"/>
      <c r="Y23" s="597" t="s">
        <v>120</v>
      </c>
      <c r="Z23" s="597">
        <v>1705000</v>
      </c>
      <c r="AA23" s="597"/>
      <c r="AB23" s="597"/>
      <c r="AC23" s="597"/>
      <c r="AD23" s="597"/>
      <c r="AE23" s="597"/>
      <c r="AF23" s="597"/>
      <c r="AG23" s="597"/>
      <c r="AH23" s="597"/>
      <c r="AI23" s="597"/>
      <c r="AJ23" s="597"/>
      <c r="AK23" s="597"/>
      <c r="AL23" s="597"/>
    </row>
    <row s="1855" customFormat="1" customHeight="1" ht="15">
      <c r="A24" s="425"/>
      <c r="B24" s="425"/>
      <c r="C24" s="178"/>
      <c r="D24" s="2110"/>
      <c r="E24" s="2112"/>
      <c r="F24" s="2109"/>
      <c r="G24" s="2560"/>
      <c r="H24" s="2129"/>
      <c r="I24" s="2562"/>
      <c r="J24" s="2109"/>
      <c r="K24" s="423"/>
      <c r="L24" s="179"/>
      <c r="M24" s="609" t="s">
        <v>121</v>
      </c>
      <c r="N24" s="606"/>
      <c r="O24" s="606"/>
      <c r="P24" s="606"/>
      <c r="Q24" s="606"/>
      <c r="R24" s="606"/>
      <c r="S24" s="606"/>
      <c r="T24" s="606"/>
      <c r="U24" s="607"/>
      <c r="V24" s="606"/>
      <c r="W24" s="606"/>
      <c r="X24" s="597"/>
      <c r="Y24" s="597"/>
      <c r="Z24" s="597"/>
      <c r="AA24" s="597"/>
      <c r="AB24" s="597"/>
      <c r="AC24" s="597"/>
      <c r="AD24" s="597"/>
      <c r="AE24" s="597"/>
      <c r="AF24" s="597"/>
      <c r="AG24" s="597"/>
      <c r="AH24" s="597"/>
      <c r="AI24" s="597"/>
      <c r="AJ24" s="597"/>
      <c r="AK24" s="597"/>
      <c r="AL24" s="597"/>
    </row>
    <row s="1855" customFormat="1" customHeight="1" ht="15">
      <c r="A25" s="425"/>
      <c r="B25" s="425"/>
      <c r="C25" s="178"/>
      <c r="D25" s="2110"/>
      <c r="E25" s="2113"/>
      <c r="F25" s="2109"/>
      <c r="G25" s="423"/>
      <c r="H25" s="179"/>
      <c r="I25" s="582" t="s">
        <v>122</v>
      </c>
      <c r="J25" s="179"/>
      <c r="K25" s="179"/>
      <c r="L25" s="179"/>
      <c r="M25" s="610"/>
      <c r="N25" s="606"/>
      <c r="O25" s="606"/>
      <c r="P25" s="606"/>
      <c r="Q25" s="606"/>
      <c r="R25" s="606"/>
      <c r="S25" s="606"/>
      <c r="T25" s="606"/>
      <c r="U25" s="607"/>
      <c r="V25" s="606"/>
      <c r="W25" s="606"/>
      <c r="X25" s="597"/>
      <c r="Y25" s="597"/>
      <c r="Z25" s="597"/>
      <c r="AA25" s="597"/>
      <c r="AB25" s="597"/>
      <c r="AC25" s="597"/>
      <c r="AD25" s="597"/>
      <c r="AE25" s="597"/>
      <c r="AF25" s="597"/>
      <c r="AG25" s="597"/>
      <c r="AH25" s="597"/>
      <c r="AI25" s="597"/>
      <c r="AJ25" s="597"/>
      <c r="AK25" s="597"/>
      <c r="AL25" s="597"/>
    </row>
    <row s="1852" customFormat="1" customHeight="1" ht="15">
      <c r="U26" s="187"/>
    </row>
    <row s="1852" customFormat="1" customHeight="1" ht="15">
      <c r="A27" s="1817" t="s">
        <v>1908</v>
      </c>
      <c r="B27" s="1817"/>
      <c r="C27" s="1817"/>
      <c r="D27" s="1817"/>
      <c r="E27" s="1817"/>
      <c r="F27" s="1817"/>
      <c r="G27" s="1817"/>
      <c r="H27" s="1817"/>
      <c r="I27" s="1817"/>
      <c r="J27" s="1817"/>
      <c r="K27" s="1817"/>
      <c r="L27" s="1817"/>
      <c r="M27" s="1817"/>
      <c r="N27" s="1817"/>
      <c r="O27" s="1817"/>
      <c r="P27" s="1817"/>
      <c r="Q27" s="1817"/>
      <c r="R27" s="1817"/>
      <c r="S27" s="1817"/>
      <c r="T27" s="1817"/>
      <c r="U27" s="186"/>
      <c r="V27" s="1817"/>
      <c r="W27" s="1817"/>
    </row>
    <row s="1852" customFormat="1" customHeight="1" ht="15">
      <c r="U28" s="187"/>
    </row>
    <row s="1855" customFormat="1" customHeight="1" ht="15">
      <c r="A29" s="425"/>
      <c r="B29" s="425"/>
      <c r="C29" s="178"/>
      <c r="D29" s="1823"/>
      <c r="E29" s="1823"/>
      <c r="F29" s="1823"/>
      <c r="G29" s="2563" t="s">
        <v>689</v>
      </c>
      <c r="H29" s="2105">
        <v>1</v>
      </c>
      <c r="I29" s="2564" t="str">
        <f>IF(U29="","",INDEX(TERRITORY_MR_LIST,MATCH(U29,TERRITORY_LIST_ID,0)))</f>
        <v/>
      </c>
      <c r="J29" s="2109" t="s">
        <v>19</v>
      </c>
      <c r="K29" s="834"/>
      <c r="L29" s="1784" t="s">
        <v>109</v>
      </c>
      <c r="M29" s="605"/>
      <c r="N29" s="606"/>
      <c r="O29" s="606"/>
      <c r="P29" s="606"/>
      <c r="Q29" s="606"/>
      <c r="R29" s="606"/>
      <c r="S29" s="606"/>
      <c r="T29" s="606"/>
      <c r="U29" s="607"/>
      <c r="V29" s="606"/>
      <c r="W29" s="606"/>
      <c r="X29" s="597"/>
      <c r="Y29" s="597" t="s">
        <v>120</v>
      </c>
      <c r="Z29" s="597">
        <v>1705000</v>
      </c>
      <c r="AA29" s="597"/>
      <c r="AB29" s="597"/>
      <c r="AC29" s="597"/>
      <c r="AD29" s="597"/>
      <c r="AE29" s="597"/>
      <c r="AF29" s="597"/>
      <c r="AG29" s="597"/>
      <c r="AH29" s="597"/>
      <c r="AI29" s="597"/>
      <c r="AJ29" s="597"/>
      <c r="AK29" s="597"/>
      <c r="AL29" s="597"/>
    </row>
    <row s="1855" customFormat="1" customHeight="1" ht="15">
      <c r="A30" s="425"/>
      <c r="B30" s="425"/>
      <c r="C30" s="178"/>
      <c r="D30" s="1823"/>
      <c r="E30" s="1823"/>
      <c r="F30" s="1823"/>
      <c r="G30" s="2563"/>
      <c r="H30" s="2105"/>
      <c r="I30" s="2564"/>
      <c r="J30" s="2109"/>
      <c r="K30" s="423"/>
      <c r="L30" s="179"/>
      <c r="M30" s="609" t="s">
        <v>121</v>
      </c>
      <c r="N30" s="606"/>
      <c r="O30" s="606"/>
      <c r="P30" s="606"/>
      <c r="Q30" s="606"/>
      <c r="R30" s="606"/>
      <c r="S30" s="606"/>
      <c r="T30" s="606"/>
      <c r="U30" s="607"/>
      <c r="V30" s="606"/>
      <c r="W30" s="606"/>
      <c r="X30" s="597"/>
      <c r="Y30" s="597"/>
      <c r="Z30" s="597"/>
      <c r="AA30" s="597"/>
      <c r="AB30" s="597"/>
      <c r="AC30" s="597"/>
      <c r="AD30" s="597"/>
      <c r="AE30" s="597"/>
      <c r="AF30" s="597"/>
      <c r="AG30" s="597"/>
      <c r="AH30" s="597"/>
      <c r="AI30" s="597"/>
      <c r="AJ30" s="597"/>
      <c r="AK30" s="597"/>
      <c r="AL30" s="597"/>
    </row>
    <row s="1852" customFormat="1" customHeight="1" ht="15">
      <c r="U31" s="187"/>
    </row>
    <row s="1852" customFormat="1" customHeight="1" ht="15">
      <c r="A32" s="1817" t="s">
        <v>1909</v>
      </c>
      <c r="B32" s="1817"/>
      <c r="C32" s="1817"/>
      <c r="D32" s="1817"/>
      <c r="E32" s="1817"/>
      <c r="F32" s="1817"/>
      <c r="G32" s="1817"/>
      <c r="H32" s="1817"/>
      <c r="I32" s="1817"/>
      <c r="J32" s="1817"/>
      <c r="K32" s="1817"/>
      <c r="L32" s="1817"/>
      <c r="M32" s="1817"/>
      <c r="N32" s="1817"/>
      <c r="O32" s="1817"/>
      <c r="P32" s="1817"/>
      <c r="Q32" s="1817"/>
      <c r="R32" s="1817"/>
      <c r="S32" s="1817"/>
      <c r="T32" s="1817"/>
      <c r="U32" s="186"/>
      <c r="V32" s="1817"/>
      <c r="W32" s="1817"/>
    </row>
    <row s="1852" customFormat="1" customHeight="1" ht="15">
      <c r="U33" s="187"/>
    </row>
    <row s="1855" customFormat="1" customHeight="1" ht="15">
      <c r="A34" s="425"/>
      <c r="B34" s="425"/>
      <c r="C34" s="178"/>
      <c r="D34" s="1823"/>
      <c r="E34" s="1823"/>
      <c r="F34" s="1823"/>
      <c r="G34" s="1823"/>
      <c r="H34" s="1823"/>
      <c r="I34" s="1823"/>
      <c r="J34" s="1823"/>
      <c r="K34" s="1801" t="s">
        <v>689</v>
      </c>
      <c r="L34" s="1731" t="s">
        <v>109</v>
      </c>
      <c r="M34" s="813"/>
      <c r="N34" s="814"/>
      <c r="O34" s="606"/>
      <c r="P34" s="606"/>
      <c r="Q34" s="606"/>
      <c r="R34" s="606"/>
      <c r="S34" s="606"/>
      <c r="T34" s="606"/>
      <c r="U34" s="607"/>
      <c r="V34" s="606"/>
      <c r="W34" s="606"/>
      <c r="X34" s="597"/>
      <c r="Y34" s="597" t="s">
        <v>120</v>
      </c>
      <c r="Z34" s="597">
        <v>1705000</v>
      </c>
      <c r="AA34" s="597"/>
      <c r="AB34" s="597"/>
      <c r="AC34" s="597"/>
      <c r="AD34" s="597"/>
      <c r="AE34" s="597"/>
      <c r="AF34" s="597"/>
      <c r="AG34" s="597"/>
      <c r="AH34" s="597"/>
      <c r="AI34" s="597"/>
      <c r="AJ34" s="597"/>
      <c r="AK34" s="597"/>
      <c r="AL34" s="597"/>
    </row>
    <row s="1852" customFormat="1" customHeight="1" ht="15">
      <c r="U35" s="187"/>
    </row>
    <row s="1852" customFormat="1" customHeight="1" ht="15">
      <c r="U36" s="187"/>
    </row>
    <row s="1817" customFormat="1" customHeight="1" ht="11.25">
      <c r="A37" s="1817" t="s">
        <v>1910</v>
      </c>
    </row>
    <row customHeight="1" ht="11.25"/>
    <row s="457" customFormat="1" customHeight="1" ht="22.5">
      <c r="A39" s="1793"/>
      <c r="B39" s="459"/>
      <c r="C39" s="861"/>
      <c r="D39" s="442"/>
      <c r="E39" s="862"/>
      <c r="F39" s="1814"/>
      <c r="G39" s="1824"/>
      <c r="H39" s="477"/>
    </row>
    <row customHeight="1" ht="11.25"/>
    <row s="1817" customFormat="1" customHeight="1" ht="11.25">
      <c r="A41" s="1817" t="s">
        <v>1911</v>
      </c>
    </row>
    <row customHeight="1" ht="11.25"/>
    <row s="457" customFormat="1" customHeight="1" ht="22.5">
      <c r="A43" s="459"/>
      <c r="B43" s="459"/>
      <c r="C43" s="459"/>
      <c r="D43" s="442"/>
      <c r="E43" s="862"/>
      <c r="F43" s="863"/>
      <c r="G43" s="1824"/>
      <c r="H43" s="477"/>
    </row>
    <row customHeight="1" ht="11.25"/>
    <row s="1817" customFormat="1" customHeight="1" ht="11.25">
      <c r="A45" s="1817" t="s">
        <v>1912</v>
      </c>
    </row>
    <row customHeight="1" ht="11.25"/>
    <row s="457" customFormat="1" customHeight="1" ht="24">
      <c r="A47" s="2204" t="s">
        <v>313</v>
      </c>
      <c r="B47" s="504"/>
      <c r="C47" s="2215"/>
      <c r="D47" s="447" t="str">
        <f>A47</f>
        <v>5.1</v>
      </c>
      <c r="E47" s="444" t="s">
        <v>314</v>
      </c>
      <c r="F47" s="1978" t="s">
        <v>306</v>
      </c>
      <c r="G47" s="446" t="s">
        <v>315</v>
      </c>
      <c r="H47" s="477"/>
      <c r="I47" s="854"/>
    </row>
    <row s="457" customFormat="1" customHeight="1" ht="22.5">
      <c r="A48" s="2204"/>
      <c r="B48" s="504"/>
      <c r="C48" s="2215"/>
      <c r="D48" s="442" t="str">
        <f>D47&amp;".1"</f>
        <v>5.1.1</v>
      </c>
      <c r="E48" s="441" t="s">
        <v>316</v>
      </c>
      <c r="F48" s="1979" t="s">
        <v>22</v>
      </c>
      <c r="G48" s="476"/>
      <c r="H48" s="477"/>
      <c r="I48" s="854"/>
    </row>
    <row s="457" customFormat="1" customHeight="1" ht="22.5">
      <c r="A49" s="2204"/>
      <c r="B49" s="504"/>
      <c r="C49" s="2215"/>
      <c r="D49" s="442" t="str">
        <f>D47&amp;".2"</f>
        <v>5.1.2</v>
      </c>
      <c r="E49" s="441" t="s">
        <v>317</v>
      </c>
      <c r="F49" s="1734" t="s">
        <v>22</v>
      </c>
      <c r="G49" s="446" t="s">
        <v>318</v>
      </c>
      <c r="H49" s="477"/>
      <c r="I49" s="854"/>
    </row>
    <row s="457" customFormat="1" customHeight="1" ht="22.5">
      <c r="A50" s="2204"/>
      <c r="B50" s="504"/>
      <c r="C50" s="2215"/>
      <c r="D50" s="442" t="str">
        <f>D47&amp;".3"</f>
        <v>5.1.3</v>
      </c>
      <c r="E50" s="441" t="s">
        <v>319</v>
      </c>
      <c r="F50" s="1979" t="s">
        <v>22</v>
      </c>
      <c r="G50" s="476"/>
      <c r="H50" s="477"/>
      <c r="I50" s="854"/>
    </row>
    <row s="457" customFormat="1" customHeight="1" ht="22.5">
      <c r="A51" s="2204"/>
      <c r="B51" s="504"/>
      <c r="C51" s="2215"/>
      <c r="D51" s="442" t="str">
        <f>D47&amp;".4"</f>
        <v>5.1.4</v>
      </c>
      <c r="E51" s="441" t="s">
        <v>320</v>
      </c>
      <c r="F51" s="1979" t="s">
        <v>22</v>
      </c>
      <c r="G51" s="446" t="s">
        <v>321</v>
      </c>
      <c r="H51" s="477"/>
      <c r="I51" s="854"/>
    </row>
    <row r="54" s="1817" customFormat="1" customHeight="1" ht="17.25">
      <c r="A54" s="1817" t="s">
        <v>1913</v>
      </c>
    </row>
    <row r="56" s="1614" customFormat="1" customHeight="1" ht="18.75">
      <c r="A56" s="91"/>
      <c r="B56" s="1825"/>
      <c r="C56" s="1825"/>
      <c r="D56" s="1826"/>
      <c r="E56" s="1811"/>
      <c r="F56" s="870">
        <v>13</v>
      </c>
      <c r="G56" s="869"/>
      <c r="H56" s="795"/>
      <c r="I56" s="793"/>
      <c r="J56" s="522" t="s">
        <v>66</v>
      </c>
      <c r="K56" s="1827" t="s">
        <v>22</v>
      </c>
      <c r="L56" s="91"/>
      <c r="M56" s="1638"/>
      <c r="N56" s="1638"/>
      <c r="O56" s="1638"/>
      <c r="P56" s="518" t="s">
        <v>392</v>
      </c>
      <c r="Q56" s="518" t="s">
        <v>393</v>
      </c>
      <c r="R56" s="519" t="s">
        <v>394</v>
      </c>
      <c r="S56" s="1638" t="s">
        <v>395</v>
      </c>
      <c r="T56" s="1638"/>
      <c r="U56" s="1638"/>
      <c r="V56" s="1638"/>
    </row>
    <row r="58" s="1817" customFormat="1" customHeight="1" ht="11.25">
      <c r="A58" s="1817" t="s">
        <v>1914</v>
      </c>
    </row>
    <row r="60" s="1637" customFormat="1" customHeight="1" ht="14.25">
      <c r="C60" s="1690"/>
      <c r="D60" s="1871"/>
      <c r="E60" s="1779" t="s">
        <v>22</v>
      </c>
      <c r="F60" s="1870"/>
      <c r="G60" s="858"/>
      <c r="H60" s="1780"/>
      <c r="I60" s="1780"/>
      <c r="J60" s="435"/>
      <c r="K60" s="1865"/>
      <c r="L60" s="434"/>
      <c r="M60" s="1865"/>
      <c r="N60" s="435"/>
      <c r="O60" s="1865"/>
      <c r="P60" s="435"/>
      <c r="Q60" s="1865"/>
      <c r="R60" s="435"/>
      <c r="S60" s="856"/>
      <c r="T60" s="1780"/>
      <c r="U60" s="435"/>
      <c r="V60" s="435"/>
      <c r="W60" s="1869"/>
      <c r="X60" s="1780"/>
      <c r="Y60" s="435"/>
      <c r="Z60" s="435"/>
      <c r="AA60" s="1869"/>
      <c r="AB60" s="1780"/>
      <c r="AC60" s="435"/>
      <c r="AD60" s="1869"/>
      <c r="AE60" s="91"/>
      <c r="AF60" s="91"/>
      <c r="AG60" s="91"/>
      <c r="AH60" s="91"/>
      <c r="AJ60" s="1638"/>
      <c r="AK60" s="1638"/>
      <c r="AL60" s="1638"/>
      <c r="AM60" s="1638"/>
      <c r="AN60" s="1638"/>
      <c r="AO60" s="1638"/>
      <c r="AP60" s="1626" t="s">
        <v>381</v>
      </c>
      <c r="AQ60" s="1626" t="s">
        <v>381</v>
      </c>
      <c r="AR60" s="1638"/>
      <c r="AS60" s="1638"/>
    </row>
    <row r="62" s="1817" customFormat="1" customHeight="1" ht="11.25">
      <c r="A62" s="1817" t="s">
        <v>1915</v>
      </c>
    </row>
    <row r="64" s="1825" customFormat="1" customHeight="1" ht="15">
      <c r="A64" s="147" t="s">
        <v>90</v>
      </c>
      <c r="B64" s="127" t="s">
        <v>22</v>
      </c>
      <c r="C64" s="1828"/>
      <c r="D64" s="130"/>
      <c r="E64" s="383"/>
      <c r="F64" s="383"/>
      <c r="G64" s="1805"/>
      <c r="H64" s="1827"/>
      <c r="I64" s="1806"/>
      <c r="K64" s="274"/>
      <c r="L64" s="275"/>
    </row>
    <row r="66" s="1817" customFormat="1" customHeight="1" ht="11.25">
      <c r="A66" s="1817" t="s">
        <v>1916</v>
      </c>
    </row>
    <row r="68" s="1637" customFormat="1" customHeight="1" ht="14.25">
      <c r="A68" s="345"/>
      <c r="B68" s="1162"/>
      <c r="C68" s="378"/>
      <c r="D68" s="1812"/>
      <c r="E68" s="888"/>
      <c r="F68" s="1827"/>
      <c r="G68" s="91"/>
      <c r="I68" s="1626"/>
      <c r="J68" s="1626"/>
    </row>
    <row r="70" s="1817" customFormat="1" customHeight="1" ht="11.25">
      <c r="A70" s="1817" t="s">
        <v>1917</v>
      </c>
    </row>
    <row r="72" s="1637" customFormat="1" customHeight="1" ht="27">
      <c r="A72" s="1168"/>
      <c r="B72" s="1168"/>
      <c r="C72" s="1168"/>
      <c r="D72" s="1162"/>
      <c r="E72" s="1829"/>
      <c r="F72" s="2583"/>
      <c r="G72" s="2584"/>
      <c r="H72" s="2585" t="s">
        <v>66</v>
      </c>
      <c r="I72" s="2587"/>
      <c r="J72" s="2550"/>
      <c r="K72" s="2589"/>
      <c r="L72" s="2552"/>
      <c r="M72" s="2552"/>
      <c r="N72" s="2553"/>
      <c r="O72" s="2553"/>
      <c r="P72" s="2554">
        <f>DATEDIF(DATEVALUE(N72),DATEVALUE(O72),"y")&amp;"г. "&amp;DATEDIF(DATEVALUE(N72),DATEVALUE(O72),"ym")&amp;"мес. "&amp;DATEVALUE(O72)-DATE(YEAR(DATEVALUE(O72)),MONTH(DATEVALUE(O72)),1)&amp;"дн. "</f>
      </c>
      <c r="Q72" s="2549"/>
      <c r="R72" s="2549"/>
      <c r="S72" s="2549"/>
      <c r="T72" s="2550"/>
      <c r="U72" s="2549"/>
      <c r="V72" s="2549"/>
      <c r="W72" s="2549"/>
      <c r="X72" s="2550"/>
      <c r="Y72" s="2547" t="s">
        <v>66</v>
      </c>
      <c r="Z72" s="1810"/>
      <c r="AA72" s="1794">
        <v>1</v>
      </c>
      <c r="AB72" s="1244"/>
      <c r="AD72" s="1638" t="s">
        <v>1918</v>
      </c>
    </row>
    <row s="1637" customFormat="1" customHeight="1" ht="10.5">
      <c r="A73" s="1168"/>
      <c r="B73" s="1168"/>
      <c r="C73" s="1168"/>
      <c r="D73" s="1162"/>
      <c r="E73" s="949"/>
      <c r="F73" s="2583"/>
      <c r="G73" s="2584"/>
      <c r="H73" s="2586"/>
      <c r="I73" s="2588"/>
      <c r="J73" s="2551"/>
      <c r="K73" s="2589"/>
      <c r="L73" s="2552"/>
      <c r="M73" s="2552"/>
      <c r="N73" s="2553"/>
      <c r="O73" s="2553"/>
      <c r="P73" s="2554"/>
      <c r="Q73" s="2549"/>
      <c r="R73" s="2549"/>
      <c r="S73" s="2549"/>
      <c r="T73" s="2551"/>
      <c r="U73" s="2549"/>
      <c r="V73" s="2549"/>
      <c r="W73" s="2549"/>
      <c r="X73" s="2551"/>
      <c r="Y73" s="2548"/>
      <c r="Z73" s="349"/>
      <c r="AA73" s="574"/>
      <c r="AB73" s="654" t="s">
        <v>1919</v>
      </c>
    </row>
    <row r="75" s="1817" customFormat="1" customHeight="1" ht="11.25">
      <c r="A75" s="1817" t="s">
        <v>1920</v>
      </c>
    </row>
    <row r="77" s="1637" customFormat="1" customHeight="1" ht="27">
      <c r="A77" s="1168"/>
      <c r="B77" s="1168"/>
      <c r="C77" s="1168"/>
      <c r="D77" s="1162"/>
      <c r="E77" s="1829"/>
      <c r="F77" s="1799"/>
      <c r="G77" s="1749"/>
      <c r="H77" s="1750"/>
      <c r="I77" s="1751"/>
      <c r="J77" s="1752"/>
      <c r="K77" s="1753"/>
      <c r="L77" s="1754"/>
      <c r="M77" s="1754"/>
      <c r="N77" s="1755"/>
      <c r="O77" s="1755"/>
      <c r="P77" s="1756"/>
      <c r="Q77" s="1757"/>
      <c r="R77" s="1757"/>
      <c r="S77" s="1757"/>
      <c r="T77" s="1752"/>
      <c r="U77" s="1757"/>
      <c r="V77" s="1757"/>
      <c r="W77" s="1757"/>
      <c r="X77" s="1752"/>
      <c r="Y77" s="1750"/>
      <c r="Z77" s="1810"/>
      <c r="AA77" s="1794">
        <v>1</v>
      </c>
      <c r="AB77" s="1244"/>
      <c r="AD77" s="1638" t="s">
        <v>1918</v>
      </c>
    </row>
    <row r="79" s="1817" customFormat="1" customHeight="1" ht="11.25">
      <c r="A79" s="1817" t="s">
        <v>1921</v>
      </c>
    </row>
    <row customHeight="1" ht="17.25"/>
    <row s="1637" customFormat="1" customHeight="1" ht="21">
      <c r="A81" s="1169"/>
      <c r="B81" s="1168"/>
      <c r="C81" s="1168"/>
      <c r="D81" s="1162"/>
      <c r="E81" s="1172"/>
      <c r="F81" s="1124">
        <f>INDEX(IP_MAIN_LIST_NAME_IP,MATCH(A81,IP_MAIN_LIST_IP_ID,0))&amp;" ("&amp;INDEX(IP_MAIN_START_DATE,MATCH(A81,IP_MAIN_LIST_IP_ID,0))&amp;"-"&amp;INDEX(IP_MAIN_END_DATE,MATCH(A81,IP_MAIN_LIST_IP_ID,0))&amp;")"</f>
      </c>
      <c r="G81" s="1125"/>
      <c r="H81" s="1125"/>
      <c r="I81" s="1187"/>
      <c r="J81" s="1187"/>
      <c r="K81" s="1188"/>
      <c r="L81" s="1188"/>
      <c r="M81" s="1188"/>
      <c r="N81" s="1189"/>
      <c r="O81" s="1189"/>
      <c r="P81" s="1189"/>
      <c r="Q81" s="1189"/>
      <c r="R81" s="1189"/>
      <c r="S81" s="1189"/>
      <c r="T81" s="1189"/>
      <c r="U81" s="1189"/>
      <c r="V81" s="1189"/>
      <c r="W81" s="1189"/>
      <c r="X81" s="1189"/>
      <c r="Y81" s="1189"/>
      <c r="Z81" s="1189"/>
      <c r="AA81" s="1189"/>
      <c r="AB81" s="1189"/>
      <c r="AC81" s="1189"/>
      <c r="AD81" s="1189"/>
      <c r="AE81" s="1190"/>
      <c r="AF81" s="1188"/>
      <c r="AG81" s="1188"/>
      <c r="AH81" s="1188"/>
      <c r="AI81" s="1188"/>
      <c r="AJ81" s="1188"/>
      <c r="AK81" s="1188"/>
      <c r="AL81" s="1990"/>
      <c r="AM81" s="1825"/>
      <c r="AN81" s="1825"/>
      <c r="AO81" s="1825"/>
      <c r="AP81" s="1825"/>
      <c r="AQ81" s="1825"/>
      <c r="AR81" s="1825"/>
      <c r="AS81" s="1825"/>
      <c r="AT81" s="1825"/>
      <c r="AU81" s="1825"/>
      <c r="AV81" s="1825"/>
      <c r="AW81" s="1825"/>
      <c r="AX81" s="1825"/>
      <c r="AY81" s="1825"/>
      <c r="AZ81" s="1825"/>
      <c r="BA81" s="1825"/>
      <c r="BB81" s="1825"/>
      <c r="BC81" s="1825"/>
      <c r="BD81" s="1825"/>
      <c r="BE81" s="1825"/>
      <c r="BF81" s="1825"/>
    </row>
    <row s="1637" customFormat="1" customHeight="1" ht="0.75">
      <c r="A82" s="1168"/>
      <c r="B82" s="1168"/>
      <c r="C82" s="1168"/>
      <c r="D82" s="1162"/>
      <c r="E82" s="1172"/>
      <c r="F82" s="2538"/>
      <c r="G82" s="2517"/>
      <c r="H82" s="2542" t="s">
        <v>376</v>
      </c>
      <c r="I82" s="2543"/>
      <c r="J82" s="2544"/>
      <c r="K82" s="2544"/>
      <c r="L82" s="2536"/>
      <c r="M82" s="2270"/>
      <c r="N82" s="2038"/>
      <c r="O82" s="2037"/>
      <c r="P82" s="2038"/>
      <c r="Q82" s="2038"/>
      <c r="R82" s="2038"/>
      <c r="S82" s="2038"/>
      <c r="T82" s="2038"/>
      <c r="U82" s="2038"/>
      <c r="V82" s="2038"/>
      <c r="W82" s="2038"/>
      <c r="X82" s="2038"/>
      <c r="Y82" s="2038"/>
      <c r="Z82" s="2038"/>
      <c r="AA82" s="2038"/>
      <c r="AB82" s="2038"/>
      <c r="AC82" s="2038"/>
      <c r="AD82" s="2038"/>
      <c r="AE82" s="2038"/>
      <c r="AF82" s="2540"/>
      <c r="AG82" s="2536"/>
      <c r="AH82" s="2536"/>
      <c r="AI82" s="2540"/>
      <c r="AJ82" s="2536"/>
      <c r="AK82" s="2536"/>
      <c r="AL82" s="1990"/>
      <c r="AM82" s="1825"/>
      <c r="AN82" s="1825"/>
      <c r="AO82" s="1825"/>
      <c r="AP82" s="1825"/>
      <c r="AQ82" s="1825"/>
      <c r="AR82" s="1825"/>
      <c r="AS82" s="1825"/>
      <c r="AT82" s="1825"/>
      <c r="AU82" s="1825"/>
      <c r="AV82" s="1825"/>
      <c r="AW82" s="1825"/>
      <c r="AX82" s="1825"/>
      <c r="AY82" s="1825"/>
      <c r="AZ82" s="1825"/>
      <c r="BA82" s="1825"/>
      <c r="BB82" s="1825"/>
      <c r="BC82" s="1825"/>
      <c r="BD82" s="1825"/>
      <c r="BE82" s="1825"/>
      <c r="BF82" s="1825"/>
    </row>
    <row s="1637" customFormat="1" customHeight="1" ht="0.75">
      <c r="A83" s="1168"/>
      <c r="B83" s="1168"/>
      <c r="C83" s="1168"/>
      <c r="D83" s="1162"/>
      <c r="E83" s="1172"/>
      <c r="F83" s="2538"/>
      <c r="G83" s="2517"/>
      <c r="H83" s="2542"/>
      <c r="I83" s="2543"/>
      <c r="J83" s="2544"/>
      <c r="K83" s="2544"/>
      <c r="L83" s="2536"/>
      <c r="M83" s="2270"/>
      <c r="N83" s="2545"/>
      <c r="O83" s="2546"/>
      <c r="P83" s="2590"/>
      <c r="Q83" s="2541"/>
      <c r="R83" s="2541"/>
      <c r="S83" s="2541"/>
      <c r="T83" s="2541"/>
      <c r="U83" s="2541"/>
      <c r="V83" s="2541"/>
      <c r="W83" s="2541"/>
      <c r="X83" s="2541"/>
      <c r="Y83" s="2541"/>
      <c r="Z83" s="2039"/>
      <c r="AA83" s="2040"/>
      <c r="AB83" s="2040"/>
      <c r="AC83" s="2041"/>
      <c r="AD83" s="2041"/>
      <c r="AE83" s="2042"/>
      <c r="AF83" s="2540"/>
      <c r="AG83" s="2536"/>
      <c r="AH83" s="2536"/>
      <c r="AI83" s="2540"/>
      <c r="AJ83" s="2536"/>
      <c r="AK83" s="2536"/>
      <c r="AL83" s="1990"/>
      <c r="AM83" s="1825"/>
      <c r="AN83" s="1825"/>
      <c r="AO83" s="1825"/>
      <c r="AP83" s="1825"/>
      <c r="AQ83" s="1825"/>
      <c r="AR83" s="1825"/>
      <c r="AS83" s="1825"/>
      <c r="AT83" s="1825"/>
      <c r="AU83" s="1825"/>
      <c r="AV83" s="1825"/>
      <c r="AW83" s="1825"/>
      <c r="AX83" s="1825"/>
      <c r="AY83" s="1825"/>
      <c r="AZ83" s="1825"/>
      <c r="BA83" s="1825"/>
      <c r="BB83" s="1825"/>
      <c r="BC83" s="1825"/>
      <c r="BD83" s="1825"/>
      <c r="BE83" s="1825"/>
      <c r="BF83" s="1825"/>
    </row>
    <row s="1637" customFormat="1" customHeight="1" ht="0.75">
      <c r="A84" s="1168"/>
      <c r="B84" s="1168"/>
      <c r="C84" s="1168"/>
      <c r="D84" s="1162"/>
      <c r="E84" s="1172"/>
      <c r="F84" s="2538"/>
      <c r="G84" s="2517"/>
      <c r="H84" s="2542"/>
      <c r="I84" s="2543"/>
      <c r="J84" s="2544"/>
      <c r="K84" s="2544"/>
      <c r="L84" s="2536"/>
      <c r="M84" s="2270"/>
      <c r="N84" s="2545"/>
      <c r="O84" s="2546"/>
      <c r="P84" s="2591"/>
      <c r="Q84" s="2541"/>
      <c r="R84" s="2541"/>
      <c r="S84" s="2541"/>
      <c r="T84" s="2541"/>
      <c r="U84" s="2541"/>
      <c r="V84" s="2541"/>
      <c r="W84" s="2541"/>
      <c r="X84" s="2541"/>
      <c r="Y84" s="2541"/>
      <c r="Z84" s="2043"/>
      <c r="AA84" s="2044"/>
      <c r="AB84" s="2045"/>
      <c r="AC84" s="2046"/>
      <c r="AD84" s="2045"/>
      <c r="AE84" s="2046"/>
      <c r="AF84" s="2540"/>
      <c r="AG84" s="2536"/>
      <c r="AH84" s="2536"/>
      <c r="AI84" s="2540"/>
      <c r="AJ84" s="2536"/>
      <c r="AK84" s="2536"/>
      <c r="AL84" s="1990"/>
      <c r="AM84" s="1825"/>
      <c r="AN84" s="1825"/>
      <c r="AO84" s="1825"/>
      <c r="AP84" s="1825"/>
      <c r="AQ84" s="1825"/>
      <c r="AR84" s="1825"/>
      <c r="AS84" s="1825"/>
      <c r="AT84" s="1825"/>
      <c r="AU84" s="1825"/>
      <c r="AV84" s="1825"/>
      <c r="AW84" s="1825"/>
      <c r="AX84" s="1825"/>
      <c r="AY84" s="1825"/>
      <c r="AZ84" s="1825"/>
      <c r="BA84" s="1825"/>
      <c r="BB84" s="1825"/>
      <c r="BC84" s="1825"/>
      <c r="BD84" s="1825"/>
      <c r="BE84" s="1825"/>
      <c r="BF84" s="1825"/>
    </row>
    <row s="1637" customFormat="1" customHeight="1" ht="0.75">
      <c r="A85" s="1168"/>
      <c r="B85" s="1168"/>
      <c r="C85" s="1168"/>
      <c r="D85" s="1162"/>
      <c r="E85" s="1172"/>
      <c r="F85" s="2538"/>
      <c r="G85" s="2517"/>
      <c r="H85" s="2542"/>
      <c r="I85" s="2543"/>
      <c r="J85" s="2544"/>
      <c r="K85" s="2544"/>
      <c r="L85" s="2536"/>
      <c r="M85" s="2270"/>
      <c r="N85" s="2545"/>
      <c r="O85" s="2546"/>
      <c r="P85" s="2592"/>
      <c r="Q85" s="2541"/>
      <c r="R85" s="2541"/>
      <c r="S85" s="2541"/>
      <c r="T85" s="2541"/>
      <c r="U85" s="2541"/>
      <c r="V85" s="2541"/>
      <c r="W85" s="2541"/>
      <c r="X85" s="2541"/>
      <c r="Y85" s="2541"/>
      <c r="Z85" s="2039"/>
      <c r="AA85" s="2040"/>
      <c r="AB85" s="2047"/>
      <c r="AC85" s="2041"/>
      <c r="AD85" s="2041"/>
      <c r="AE85" s="2048"/>
      <c r="AF85" s="2540"/>
      <c r="AG85" s="2536"/>
      <c r="AH85" s="2536"/>
      <c r="AI85" s="2540"/>
      <c r="AJ85" s="2536"/>
      <c r="AK85" s="2536"/>
      <c r="AL85" s="1990"/>
      <c r="AM85" s="1825"/>
      <c r="AN85" s="1825"/>
      <c r="AO85" s="1825"/>
      <c r="AP85" s="1825"/>
      <c r="AQ85" s="1825"/>
      <c r="AR85" s="1825"/>
      <c r="AS85" s="1825"/>
      <c r="AT85" s="1825"/>
      <c r="AU85" s="1825"/>
      <c r="AV85" s="1825"/>
      <c r="AW85" s="1825"/>
      <c r="AX85" s="1825"/>
      <c r="AY85" s="1825"/>
      <c r="AZ85" s="1825"/>
      <c r="BA85" s="1825"/>
      <c r="BB85" s="1825"/>
      <c r="BC85" s="1825"/>
      <c r="BD85" s="1825"/>
      <c r="BE85" s="1825"/>
      <c r="BF85" s="1825"/>
    </row>
    <row s="1637" customFormat="1" customHeight="1" ht="0.75">
      <c r="A86" s="1168"/>
      <c r="B86" s="1168"/>
      <c r="C86" s="1168"/>
      <c r="D86" s="1162"/>
      <c r="E86" s="1172"/>
      <c r="F86" s="2538"/>
      <c r="G86" s="2517"/>
      <c r="H86" s="2542"/>
      <c r="I86" s="2543"/>
      <c r="J86" s="2544"/>
      <c r="K86" s="2544"/>
      <c r="L86" s="2536"/>
      <c r="M86" s="2270"/>
      <c r="N86" s="2040"/>
      <c r="O86" s="2040"/>
      <c r="P86" s="2047"/>
      <c r="Q86" s="2040"/>
      <c r="R86" s="2040"/>
      <c r="S86" s="2040"/>
      <c r="T86" s="2040"/>
      <c r="U86" s="2040"/>
      <c r="V86" s="2040"/>
      <c r="W86" s="2040"/>
      <c r="X86" s="2040"/>
      <c r="Y86" s="2040"/>
      <c r="Z86" s="2040"/>
      <c r="AA86" s="2040"/>
      <c r="AB86" s="2040"/>
      <c r="AC86" s="2040"/>
      <c r="AD86" s="2040"/>
      <c r="AE86" s="2049"/>
      <c r="AF86" s="2540"/>
      <c r="AG86" s="2536"/>
      <c r="AH86" s="2536"/>
      <c r="AI86" s="2540"/>
      <c r="AJ86" s="2536"/>
      <c r="AK86" s="2536"/>
      <c r="AL86" s="1990"/>
      <c r="AM86" s="1825"/>
      <c r="AN86" s="1825"/>
      <c r="AO86" s="1825"/>
      <c r="AP86" s="1825"/>
      <c r="AQ86" s="1825"/>
      <c r="AR86" s="1825"/>
      <c r="AS86" s="1825"/>
      <c r="AT86" s="1825"/>
      <c r="AU86" s="1825"/>
      <c r="AV86" s="1825"/>
      <c r="AW86" s="1825"/>
      <c r="AX86" s="1825"/>
      <c r="AY86" s="1825"/>
      <c r="AZ86" s="1825"/>
      <c r="BA86" s="1825"/>
      <c r="BB86" s="1825"/>
      <c r="BC86" s="1825"/>
      <c r="BD86" s="1825"/>
      <c r="BE86" s="1825"/>
      <c r="BF86" s="1825"/>
    </row>
    <row s="1637" customFormat="1" customHeight="1" ht="12">
      <c r="A87" s="1168"/>
      <c r="B87" s="1168"/>
      <c r="C87" s="1168"/>
      <c r="D87" s="1162"/>
      <c r="E87" s="1172"/>
      <c r="F87" s="2539"/>
      <c r="G87" s="1192"/>
      <c r="H87" s="1192"/>
      <c r="I87" s="2537" t="s">
        <v>1922</v>
      </c>
      <c r="J87" s="2537"/>
      <c r="K87" s="2537"/>
      <c r="L87" s="1175"/>
      <c r="M87" s="1175"/>
      <c r="N87" s="1176"/>
      <c r="O87" s="1176"/>
      <c r="P87" s="1176"/>
      <c r="Q87" s="1176"/>
      <c r="R87" s="1176"/>
      <c r="S87" s="1176"/>
      <c r="T87" s="1176"/>
      <c r="U87" s="1176"/>
      <c r="V87" s="1176"/>
      <c r="W87" s="1176"/>
      <c r="X87" s="1176"/>
      <c r="Y87" s="1176"/>
      <c r="Z87" s="1176"/>
      <c r="AA87" s="1176"/>
      <c r="AB87" s="1176"/>
      <c r="AC87" s="1176"/>
      <c r="AD87" s="1176"/>
      <c r="AE87" s="1176"/>
      <c r="AF87" s="1176"/>
      <c r="AG87" s="1175"/>
      <c r="AH87" s="1175"/>
      <c r="AI87" s="1176"/>
      <c r="AJ87" s="1175"/>
      <c r="AK87" s="1176"/>
      <c r="AL87" s="1990"/>
      <c r="AM87" s="1825"/>
      <c r="AN87" s="1825"/>
      <c r="AO87" s="1825"/>
      <c r="AP87" s="1825"/>
      <c r="AQ87" s="1825"/>
      <c r="AR87" s="1825"/>
      <c r="AS87" s="1825"/>
      <c r="AT87" s="1825"/>
      <c r="AU87" s="1825"/>
      <c r="AV87" s="1825"/>
      <c r="AW87" s="1825"/>
      <c r="AX87" s="1825"/>
      <c r="AY87" s="1825"/>
      <c r="AZ87" s="1825"/>
      <c r="BA87" s="1825"/>
      <c r="BB87" s="1825"/>
      <c r="BC87" s="1825"/>
      <c r="BD87" s="1825"/>
      <c r="BE87" s="1825"/>
      <c r="BF87" s="1825"/>
    </row>
    <row r="89" s="1817" customFormat="1" customHeight="1" ht="11.25">
      <c r="A89" s="1817" t="s">
        <v>1923</v>
      </c>
    </row>
    <row r="91" s="1637" customFormat="1" customHeight="1" ht="11.25">
      <c r="A91" s="1168"/>
      <c r="B91" s="1168"/>
      <c r="C91" s="1168"/>
      <c r="D91" s="1162"/>
      <c r="E91" s="1172"/>
      <c r="F91" s="1831"/>
      <c r="G91" s="1832"/>
      <c r="H91" s="1832"/>
      <c r="I91" s="1766"/>
      <c r="J91" s="1766"/>
      <c r="K91" s="1833"/>
      <c r="L91" s="1766"/>
      <c r="M91" s="1832"/>
      <c r="N91" s="2510"/>
      <c r="O91" s="2593">
        <v>1</v>
      </c>
      <c r="P91" s="2512" t="s">
        <v>19</v>
      </c>
      <c r="Q91" s="2515" t="s">
        <v>22</v>
      </c>
      <c r="R91" s="2515" t="s">
        <v>22</v>
      </c>
      <c r="S91" s="2515" t="s">
        <v>22</v>
      </c>
      <c r="T91" s="2515" t="s">
        <v>22</v>
      </c>
      <c r="U91" s="2515" t="s">
        <v>22</v>
      </c>
      <c r="V91" s="2515" t="s">
        <v>22</v>
      </c>
      <c r="W91" s="2515" t="s">
        <v>22</v>
      </c>
      <c r="X91" s="2515" t="s">
        <v>22</v>
      </c>
      <c r="Y91" s="2515"/>
      <c r="Z91" s="1177"/>
      <c r="AA91" s="1178"/>
      <c r="AB91" s="1178"/>
      <c r="AC91" s="1182"/>
      <c r="AD91" s="1182"/>
      <c r="AE91" s="1182"/>
      <c r="AF91" s="1834"/>
      <c r="AG91" s="1761"/>
      <c r="AH91" s="1761"/>
      <c r="AI91" s="1834"/>
      <c r="AJ91" s="1761"/>
      <c r="AK91" s="1989"/>
      <c r="AL91" s="1990"/>
      <c r="AM91" s="1825"/>
      <c r="AN91" s="1825"/>
      <c r="AO91" s="1825"/>
      <c r="AP91" s="1825"/>
      <c r="AQ91" s="1825"/>
      <c r="AR91" s="1825"/>
      <c r="AS91" s="1825"/>
      <c r="AT91" s="1825"/>
      <c r="AU91" s="1825"/>
      <c r="AV91" s="1825"/>
      <c r="AW91" s="1825"/>
      <c r="AX91" s="1825"/>
      <c r="AY91" s="1825"/>
      <c r="AZ91" s="1825"/>
      <c r="BA91" s="1825"/>
      <c r="BB91" s="1825"/>
      <c r="BC91" s="1825"/>
      <c r="BD91" s="1825"/>
      <c r="BE91" s="1825"/>
      <c r="BF91" s="1825"/>
    </row>
    <row s="1637" customFormat="1" customHeight="1" ht="11.25">
      <c r="A92" s="1168"/>
      <c r="B92" s="1168"/>
      <c r="C92" s="1168"/>
      <c r="D92" s="1162"/>
      <c r="E92" s="1172"/>
      <c r="F92" s="1831"/>
      <c r="G92" s="1832"/>
      <c r="H92" s="1832"/>
      <c r="I92" s="1767"/>
      <c r="J92" s="1767"/>
      <c r="K92" s="1833"/>
      <c r="L92" s="1767"/>
      <c r="M92" s="1832"/>
      <c r="N92" s="2510"/>
      <c r="O92" s="2593"/>
      <c r="P92" s="2513"/>
      <c r="Q92" s="2515"/>
      <c r="R92" s="2515"/>
      <c r="S92" s="2516"/>
      <c r="T92" s="2515"/>
      <c r="U92" s="2515"/>
      <c r="V92" s="2515"/>
      <c r="W92" s="2515"/>
      <c r="X92" s="2515"/>
      <c r="Y92" s="2515"/>
      <c r="Z92" s="1830"/>
      <c r="AA92" s="1796">
        <v>1</v>
      </c>
      <c r="AB92" s="1181"/>
      <c r="AC92" s="1171"/>
      <c r="AD92" s="1181">
        <f>AB92</f>
        <v>0</v>
      </c>
      <c r="AE92" s="726"/>
      <c r="AF92" s="1833"/>
      <c r="AG92" s="1761"/>
      <c r="AH92" s="1761"/>
      <c r="AI92" s="1833"/>
      <c r="AJ92" s="1761"/>
      <c r="AK92" s="1989"/>
      <c r="AL92" s="1990"/>
      <c r="AM92" s="1825"/>
      <c r="AN92" s="1825"/>
      <c r="AO92" s="1825"/>
      <c r="AP92" s="1825"/>
      <c r="AQ92" s="1825"/>
      <c r="AR92" s="1825"/>
      <c r="AS92" s="1825"/>
      <c r="AT92" s="1825"/>
      <c r="AU92" s="1825"/>
      <c r="AV92" s="1825"/>
      <c r="AW92" s="1825"/>
      <c r="AX92" s="1825"/>
      <c r="AY92" s="1825"/>
      <c r="AZ92" s="1825"/>
      <c r="BA92" s="1825"/>
      <c r="BB92" s="1825"/>
      <c r="BC92" s="1825"/>
      <c r="BD92" s="1825"/>
      <c r="BE92" s="1825"/>
      <c r="BF92" s="1825"/>
    </row>
    <row s="1637" customFormat="1" customHeight="1" ht="11.25">
      <c r="A93" s="1168"/>
      <c r="B93" s="1168"/>
      <c r="C93" s="1168"/>
      <c r="D93" s="1162"/>
      <c r="E93" s="1172"/>
      <c r="F93" s="1831"/>
      <c r="G93" s="1832"/>
      <c r="H93" s="1832"/>
      <c r="I93" s="1768"/>
      <c r="J93" s="1768"/>
      <c r="K93" s="1833"/>
      <c r="L93" s="1768"/>
      <c r="M93" s="1832"/>
      <c r="N93" s="2510"/>
      <c r="O93" s="2593"/>
      <c r="P93" s="2514"/>
      <c r="Q93" s="2515"/>
      <c r="R93" s="2515"/>
      <c r="S93" s="2516"/>
      <c r="T93" s="2515"/>
      <c r="U93" s="2515"/>
      <c r="V93" s="2515"/>
      <c r="W93" s="2515"/>
      <c r="X93" s="2515"/>
      <c r="Y93" s="2515"/>
      <c r="Z93" s="1177"/>
      <c r="AA93" s="1178"/>
      <c r="AB93" s="1243" t="s">
        <v>1924</v>
      </c>
      <c r="AC93" s="1182"/>
      <c r="AD93" s="1182"/>
      <c r="AE93" s="1182"/>
      <c r="AF93" s="1835"/>
      <c r="AG93" s="1761"/>
      <c r="AH93" s="1761"/>
      <c r="AI93" s="1835"/>
      <c r="AJ93" s="1761"/>
      <c r="AK93" s="1989"/>
      <c r="AL93" s="1990"/>
      <c r="AM93" s="1825"/>
      <c r="AN93" s="1825"/>
      <c r="AO93" s="1825"/>
      <c r="AP93" s="1825"/>
      <c r="AQ93" s="1825"/>
      <c r="AR93" s="1825"/>
      <c r="AS93" s="1825"/>
      <c r="AT93" s="1825"/>
      <c r="AU93" s="1825"/>
      <c r="AV93" s="1825"/>
      <c r="AW93" s="1825"/>
      <c r="AX93" s="1825"/>
      <c r="AY93" s="1825"/>
      <c r="AZ93" s="1825"/>
      <c r="BA93" s="1825"/>
      <c r="BB93" s="1825"/>
      <c r="BC93" s="1825"/>
      <c r="BD93" s="1825"/>
      <c r="BE93" s="1825"/>
      <c r="BF93" s="1825"/>
    </row>
    <row r="95" s="1817" customFormat="1" customHeight="1" ht="11.25">
      <c r="A95" s="1817" t="s">
        <v>1925</v>
      </c>
    </row>
    <row r="97" s="1637" customFormat="1" customHeight="1" ht="11.25">
      <c r="A97" s="1168"/>
      <c r="B97" s="1168"/>
      <c r="C97" s="1168"/>
      <c r="D97" s="1162"/>
      <c r="E97" s="1172"/>
      <c r="F97" s="1832"/>
      <c r="G97" s="1832"/>
      <c r="H97" s="1832"/>
      <c r="I97" s="1832"/>
      <c r="J97" s="1832"/>
      <c r="K97" s="1832"/>
      <c r="L97" s="1832"/>
      <c r="M97" s="1832"/>
      <c r="N97" s="1832"/>
      <c r="O97" s="1832"/>
      <c r="P97" s="1832"/>
      <c r="Q97" s="1832"/>
      <c r="R97" s="1832"/>
      <c r="S97" s="1832"/>
      <c r="T97" s="1832"/>
      <c r="U97" s="1832"/>
      <c r="V97" s="1832"/>
      <c r="W97" s="1832"/>
      <c r="X97" s="1832"/>
      <c r="Y97" s="1832"/>
      <c r="Z97" s="1836"/>
      <c r="AA97" s="1816">
        <v>1</v>
      </c>
      <c r="AB97" s="1181"/>
      <c r="AC97" s="1171"/>
      <c r="AD97" s="1181">
        <f>AB97</f>
        <v>0</v>
      </c>
      <c r="AE97" s="1171"/>
      <c r="AF97" s="1833"/>
      <c r="AG97" s="1761"/>
      <c r="AH97" s="1761"/>
      <c r="AI97" s="1833"/>
      <c r="AJ97" s="1761"/>
      <c r="AK97" s="1989"/>
      <c r="AL97" s="1990"/>
      <c r="AM97" s="1825"/>
      <c r="AN97" s="1825"/>
      <c r="AO97" s="1825"/>
      <c r="AP97" s="1825"/>
      <c r="AQ97" s="1825"/>
      <c r="AR97" s="1825"/>
      <c r="AS97" s="1825"/>
      <c r="AT97" s="1825"/>
      <c r="AU97" s="1825"/>
      <c r="AV97" s="1825"/>
      <c r="AW97" s="1825"/>
      <c r="AX97" s="1825"/>
      <c r="AY97" s="1825"/>
      <c r="AZ97" s="1825"/>
      <c r="BA97" s="1825"/>
      <c r="BB97" s="1825"/>
      <c r="BC97" s="1825"/>
      <c r="BD97" s="1825"/>
      <c r="BE97" s="1825"/>
      <c r="BF97" s="1825"/>
    </row>
    <row r="99" s="1817" customFormat="1" customHeight="1" ht="11.25">
      <c r="A99" s="1817" t="s">
        <v>1926</v>
      </c>
    </row>
    <row r="101" s="1637" customFormat="1" customHeight="1" ht="11.25">
      <c r="A101" s="1168"/>
      <c r="B101" s="1168"/>
      <c r="C101" s="1168"/>
      <c r="D101" s="1162"/>
      <c r="E101" s="1172"/>
      <c r="F101" s="1831"/>
      <c r="G101" s="1832"/>
      <c r="H101" s="2517" t="s">
        <v>109</v>
      </c>
      <c r="I101" s="2518"/>
      <c r="J101" s="2487"/>
      <c r="K101" s="2519"/>
      <c r="L101" s="2109" t="s">
        <v>19</v>
      </c>
      <c r="M101" s="2110"/>
      <c r="N101" s="1988"/>
      <c r="O101" s="1179" t="s">
        <v>376</v>
      </c>
      <c r="P101" s="1180"/>
      <c r="Q101" s="1180"/>
      <c r="R101" s="1180"/>
      <c r="S101" s="1180"/>
      <c r="T101" s="1180"/>
      <c r="U101" s="1180"/>
      <c r="V101" s="1180"/>
      <c r="W101" s="1180"/>
      <c r="X101" s="1180"/>
      <c r="Y101" s="1180"/>
      <c r="Z101" s="1180"/>
      <c r="AA101" s="1180"/>
      <c r="AB101" s="1180"/>
      <c r="AC101" s="1180"/>
      <c r="AD101" s="1180"/>
      <c r="AE101" s="1180"/>
      <c r="AF101" s="2508"/>
      <c r="AG101" s="2509"/>
      <c r="AH101" s="2509"/>
      <c r="AI101" s="2508"/>
      <c r="AJ101" s="2509"/>
      <c r="AK101" s="2509"/>
      <c r="AL101" s="1990"/>
      <c r="AM101" s="1825"/>
      <c r="AN101" s="1825"/>
      <c r="AO101" s="1825"/>
      <c r="AP101" s="1825"/>
      <c r="AQ101" s="1825"/>
      <c r="AR101" s="1825"/>
      <c r="AS101" s="1825"/>
      <c r="AT101" s="1825"/>
      <c r="AU101" s="1825"/>
      <c r="AV101" s="1825"/>
      <c r="AW101" s="1825"/>
      <c r="AX101" s="1825"/>
      <c r="AY101" s="1825"/>
      <c r="AZ101" s="1825"/>
      <c r="BA101" s="1825"/>
      <c r="BB101" s="1825"/>
      <c r="BC101" s="1825"/>
      <c r="BD101" s="1825"/>
      <c r="BE101" s="1825"/>
      <c r="BF101" s="1825"/>
    </row>
    <row s="1637" customFormat="1" customHeight="1" ht="11.25">
      <c r="A102" s="1168"/>
      <c r="B102" s="1168"/>
      <c r="C102" s="1168"/>
      <c r="D102" s="1162"/>
      <c r="E102" s="1172"/>
      <c r="F102" s="1831"/>
      <c r="G102" s="1832"/>
      <c r="H102" s="2517"/>
      <c r="I102" s="2518"/>
      <c r="J102" s="2487"/>
      <c r="K102" s="2519"/>
      <c r="L102" s="2109"/>
      <c r="M102" s="2110"/>
      <c r="N102" s="2510"/>
      <c r="O102" s="2511">
        <v>1</v>
      </c>
      <c r="P102" s="2512" t="s">
        <v>19</v>
      </c>
      <c r="Q102" s="2515" t="s">
        <v>22</v>
      </c>
      <c r="R102" s="2515" t="s">
        <v>22</v>
      </c>
      <c r="S102" s="2515" t="s">
        <v>22</v>
      </c>
      <c r="T102" s="2515" t="s">
        <v>22</v>
      </c>
      <c r="U102" s="2515" t="s">
        <v>22</v>
      </c>
      <c r="V102" s="2515" t="s">
        <v>22</v>
      </c>
      <c r="W102" s="2515" t="s">
        <v>22</v>
      </c>
      <c r="X102" s="2515" t="s">
        <v>22</v>
      </c>
      <c r="Y102" s="2515"/>
      <c r="Z102" s="1177"/>
      <c r="AA102" s="1178"/>
      <c r="AB102" s="1178"/>
      <c r="AC102" s="1182"/>
      <c r="AD102" s="1182"/>
      <c r="AE102" s="1183"/>
      <c r="AF102" s="2508"/>
      <c r="AG102" s="2509"/>
      <c r="AH102" s="2509"/>
      <c r="AI102" s="2508"/>
      <c r="AJ102" s="2509"/>
      <c r="AK102" s="2509"/>
      <c r="AL102" s="1990"/>
      <c r="AM102" s="1825"/>
      <c r="AN102" s="1825"/>
      <c r="AO102" s="1825"/>
      <c r="AP102" s="1825"/>
      <c r="AQ102" s="1825"/>
      <c r="AR102" s="1825"/>
      <c r="AS102" s="1825"/>
      <c r="AT102" s="1825"/>
      <c r="AU102" s="1825"/>
      <c r="AV102" s="1825"/>
      <c r="AW102" s="1825"/>
      <c r="AX102" s="1825"/>
      <c r="AY102" s="1825"/>
      <c r="AZ102" s="1825"/>
      <c r="BA102" s="1825"/>
      <c r="BB102" s="1825"/>
      <c r="BC102" s="1825"/>
      <c r="BD102" s="1825"/>
      <c r="BE102" s="1825"/>
      <c r="BF102" s="1825"/>
    </row>
    <row s="1637" customFormat="1" customHeight="1" ht="11.25">
      <c r="A103" s="1168"/>
      <c r="B103" s="1168"/>
      <c r="C103" s="1168"/>
      <c r="D103" s="1162"/>
      <c r="E103" s="1172"/>
      <c r="F103" s="1831"/>
      <c r="G103" s="1832"/>
      <c r="H103" s="2517"/>
      <c r="I103" s="2518"/>
      <c r="J103" s="2487"/>
      <c r="K103" s="2519"/>
      <c r="L103" s="2109"/>
      <c r="M103" s="2110"/>
      <c r="N103" s="2510"/>
      <c r="O103" s="2511"/>
      <c r="P103" s="2513"/>
      <c r="Q103" s="2515"/>
      <c r="R103" s="2515"/>
      <c r="S103" s="2516"/>
      <c r="T103" s="2515"/>
      <c r="U103" s="2515"/>
      <c r="V103" s="2515"/>
      <c r="W103" s="2515"/>
      <c r="X103" s="2515"/>
      <c r="Y103" s="2515"/>
      <c r="Z103" s="1830"/>
      <c r="AA103" s="1796">
        <v>1</v>
      </c>
      <c r="AB103" s="1181"/>
      <c r="AC103" s="1171"/>
      <c r="AD103" s="1181">
        <f>AB103</f>
        <v>0</v>
      </c>
      <c r="AE103" s="1171"/>
      <c r="AF103" s="2508"/>
      <c r="AG103" s="2509"/>
      <c r="AH103" s="2509"/>
      <c r="AI103" s="2508"/>
      <c r="AJ103" s="2509"/>
      <c r="AK103" s="2509"/>
      <c r="AL103" s="1990"/>
      <c r="AM103" s="1825"/>
      <c r="AN103" s="1825"/>
      <c r="AO103" s="1825"/>
      <c r="AP103" s="1825"/>
      <c r="AQ103" s="1825"/>
      <c r="AR103" s="1825"/>
      <c r="AS103" s="1825"/>
      <c r="AT103" s="1825"/>
      <c r="AU103" s="1825"/>
      <c r="AV103" s="1825"/>
      <c r="AW103" s="1825"/>
      <c r="AX103" s="1825"/>
      <c r="AY103" s="1825"/>
      <c r="AZ103" s="1825"/>
      <c r="BA103" s="1825"/>
      <c r="BB103" s="1825"/>
      <c r="BC103" s="1825"/>
      <c r="BD103" s="1825"/>
      <c r="BE103" s="1825"/>
      <c r="BF103" s="1825"/>
    </row>
    <row s="1637" customFormat="1" customHeight="1" ht="11.25">
      <c r="A104" s="1168"/>
      <c r="B104" s="1168"/>
      <c r="C104" s="1168"/>
      <c r="D104" s="1162"/>
      <c r="E104" s="1172"/>
      <c r="F104" s="1831"/>
      <c r="G104" s="1832"/>
      <c r="H104" s="2517"/>
      <c r="I104" s="2518"/>
      <c r="J104" s="2487"/>
      <c r="K104" s="2519"/>
      <c r="L104" s="2109"/>
      <c r="M104" s="2110"/>
      <c r="N104" s="2510"/>
      <c r="O104" s="2511"/>
      <c r="P104" s="2514"/>
      <c r="Q104" s="2515"/>
      <c r="R104" s="2515"/>
      <c r="S104" s="2516"/>
      <c r="T104" s="2515"/>
      <c r="U104" s="2515"/>
      <c r="V104" s="2515"/>
      <c r="W104" s="2515"/>
      <c r="X104" s="2515"/>
      <c r="Y104" s="2515"/>
      <c r="Z104" s="1177"/>
      <c r="AA104" s="1178"/>
      <c r="AB104" s="1243" t="s">
        <v>1924</v>
      </c>
      <c r="AC104" s="1182"/>
      <c r="AD104" s="1182"/>
      <c r="AE104" s="1184"/>
      <c r="AF104" s="2508"/>
      <c r="AG104" s="2509"/>
      <c r="AH104" s="2509"/>
      <c r="AI104" s="2508"/>
      <c r="AJ104" s="2509"/>
      <c r="AK104" s="2509"/>
      <c r="AL104" s="1990"/>
      <c r="AM104" s="1825"/>
      <c r="AN104" s="1825"/>
      <c r="AO104" s="1825"/>
      <c r="AP104" s="1825"/>
      <c r="AQ104" s="1825"/>
      <c r="AR104" s="1825"/>
      <c r="AS104" s="1825"/>
      <c r="AT104" s="1825"/>
      <c r="AU104" s="1825"/>
      <c r="AV104" s="1825"/>
      <c r="AW104" s="1825"/>
      <c r="AX104" s="1825"/>
      <c r="AY104" s="1825"/>
      <c r="AZ104" s="1825"/>
      <c r="BA104" s="1825"/>
      <c r="BB104" s="1825"/>
      <c r="BC104" s="1825"/>
      <c r="BD104" s="1825"/>
      <c r="BE104" s="1825"/>
      <c r="BF104" s="1825"/>
    </row>
    <row s="1637" customFormat="1" customHeight="1" ht="11.25">
      <c r="A105" s="1168"/>
      <c r="B105" s="1168"/>
      <c r="C105" s="1168"/>
      <c r="D105" s="1162"/>
      <c r="E105" s="1172"/>
      <c r="F105" s="1831"/>
      <c r="G105" s="1832"/>
      <c r="H105" s="2517"/>
      <c r="I105" s="2518"/>
      <c r="J105" s="2487"/>
      <c r="K105" s="2519"/>
      <c r="L105" s="2109"/>
      <c r="M105" s="2110"/>
      <c r="N105" s="1177"/>
      <c r="O105" s="1178"/>
      <c r="P105" s="1170" t="s">
        <v>1927</v>
      </c>
      <c r="Q105" s="1178"/>
      <c r="R105" s="1178"/>
      <c r="S105" s="1178"/>
      <c r="T105" s="1178"/>
      <c r="U105" s="1178"/>
      <c r="V105" s="1178"/>
      <c r="W105" s="1178"/>
      <c r="X105" s="1178"/>
      <c r="Y105" s="1178"/>
      <c r="Z105" s="1178"/>
      <c r="AA105" s="1178"/>
      <c r="AB105" s="1178"/>
      <c r="AC105" s="1178"/>
      <c r="AD105" s="1178"/>
      <c r="AE105" s="1185"/>
      <c r="AF105" s="2508"/>
      <c r="AG105" s="2509"/>
      <c r="AH105" s="2509"/>
      <c r="AI105" s="2508"/>
      <c r="AJ105" s="2509"/>
      <c r="AK105" s="2509"/>
      <c r="AL105" s="1990"/>
      <c r="AM105" s="1825"/>
      <c r="AN105" s="1825"/>
      <c r="AO105" s="1825"/>
      <c r="AP105" s="1825"/>
      <c r="AQ105" s="1825"/>
      <c r="AR105" s="1825"/>
      <c r="AS105" s="1825"/>
      <c r="AT105" s="1825"/>
      <c r="AU105" s="1825"/>
      <c r="AV105" s="1825"/>
      <c r="AW105" s="1825"/>
      <c r="AX105" s="1825"/>
      <c r="AY105" s="1825"/>
      <c r="AZ105" s="1825"/>
      <c r="BA105" s="1825"/>
      <c r="BB105" s="1825"/>
      <c r="BC105" s="1825"/>
      <c r="BD105" s="1825"/>
      <c r="BE105" s="1825"/>
      <c r="BF105" s="1825"/>
    </row>
    <row r="107" s="1817" customFormat="1" customHeight="1" ht="11.25">
      <c r="A107" s="1817" t="s">
        <v>1928</v>
      </c>
    </row>
    <row customHeight="1" ht="17.25"/>
    <row s="927" customFormat="1" customHeight="1" ht="21">
      <c r="A109" s="1169"/>
      <c r="B109" s="942"/>
      <c r="D109" s="926"/>
      <c r="E109" s="941" t="s">
        <v>22</v>
      </c>
      <c r="F109" s="1123">
        <f>INDEX(IP_MAIN_LIST_NAME_IP,MATCH(A109,IP_MAIN_LIST_IP_ID,0))&amp;" ("&amp;INDEX(IP_MAIN_START_DATE,MATCH(A109,IP_MAIN_LIST_IP_ID,0))&amp;"-"&amp;INDEX(IP_MAIN_END_DATE,MATCH(A109,IP_MAIN_LIST_IP_ID,0))&amp;")"</f>
      </c>
      <c r="G109" s="1205"/>
      <c r="H109" s="1206"/>
      <c r="I109" s="1206"/>
      <c r="J109" s="1206"/>
      <c r="K109" s="1206"/>
      <c r="L109" s="1206"/>
      <c r="M109" s="1206"/>
      <c r="N109" s="1206"/>
      <c r="O109" s="1205"/>
      <c r="P109" s="1205"/>
      <c r="Q109" s="1205"/>
      <c r="R109" s="1205"/>
      <c r="S109" s="1205"/>
      <c r="T109" s="1205"/>
      <c r="U109" s="1207"/>
      <c r="V109" s="1207"/>
      <c r="W109" s="1207"/>
      <c r="X109" s="1207"/>
      <c r="Y109" s="1207"/>
      <c r="Z109" s="1207"/>
      <c r="AA109" s="1207"/>
      <c r="AB109" s="1205"/>
      <c r="AC109" s="1206"/>
      <c r="AD109" s="1206"/>
      <c r="AE109" s="1206"/>
      <c r="AF109" s="1206"/>
      <c r="AG109" s="1206"/>
      <c r="AH109" s="120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6"/>
      <c r="BF109" s="1206"/>
      <c r="BG109" s="1206"/>
      <c r="BH109" s="1206"/>
      <c r="BI109" s="1206"/>
      <c r="BJ109" s="1206"/>
      <c r="BK109" s="1206"/>
      <c r="BL109" s="1206"/>
      <c r="BM109" s="1206"/>
      <c r="BN109" s="1206"/>
      <c r="BO109" s="1206"/>
      <c r="BP109" s="1206"/>
      <c r="BQ109" s="1206"/>
      <c r="BR109" s="1206"/>
      <c r="BS109" s="1206"/>
      <c r="BT109" s="1206"/>
      <c r="BU109" s="1206"/>
      <c r="BV109" s="1206"/>
      <c r="BW109" s="1206"/>
      <c r="BX109" s="1206"/>
      <c r="BY109" s="1206"/>
      <c r="BZ109" s="1206"/>
      <c r="CA109" s="1206"/>
      <c r="CB109" s="1206"/>
      <c r="CC109" s="1206"/>
      <c r="CD109" s="1206"/>
      <c r="CE109" s="1206"/>
      <c r="CF109" s="1206"/>
      <c r="CG109" s="1206"/>
      <c r="CH109" s="1206"/>
      <c r="CI109" s="1206"/>
      <c r="CJ109" s="1206"/>
      <c r="CK109" s="1206"/>
      <c r="CL109" s="1208"/>
      <c r="CM109" s="1208"/>
      <c r="CN109" s="1208"/>
      <c r="CO109" s="1208"/>
      <c r="CP109" s="1208"/>
      <c r="CQ109" s="1208"/>
      <c r="CR109" s="1208"/>
      <c r="CS109" s="1208"/>
      <c r="CT109" s="1208"/>
      <c r="CU109" s="1208"/>
      <c r="CV109" s="1208"/>
      <c r="CW109" s="1208"/>
      <c r="CX109" s="1208"/>
      <c r="CY109" s="1208"/>
      <c r="CZ109" s="1208"/>
      <c r="DA109" s="1208"/>
      <c r="DB109" s="1208"/>
      <c r="DC109" s="1208"/>
      <c r="DD109" s="1208"/>
      <c r="DE109" s="1208"/>
      <c r="DF109" s="1208"/>
      <c r="DG109" s="1208"/>
      <c r="DH109" s="1208"/>
      <c r="DI109" s="1208"/>
      <c r="DJ109" s="1208"/>
      <c r="DK109" s="1208"/>
      <c r="DL109" s="1208"/>
      <c r="DM109" s="1208"/>
      <c r="DN109" s="1208"/>
      <c r="DO109" s="1208"/>
      <c r="DP109" s="1208"/>
      <c r="DQ109" s="1208"/>
      <c r="DR109" s="1208"/>
      <c r="DS109" s="1208"/>
      <c r="DT109" s="1208"/>
      <c r="DU109" s="1208"/>
      <c r="DV109" s="1208"/>
      <c r="DW109" s="1208"/>
      <c r="DX109" s="1208"/>
      <c r="DY109" s="1208"/>
      <c r="DZ109" s="1208"/>
      <c r="EA109" s="1208"/>
      <c r="EB109" s="1208"/>
      <c r="EC109" s="1208"/>
      <c r="ED109" s="1208"/>
      <c r="EE109" s="1208"/>
      <c r="EF109" s="1208"/>
      <c r="EG109" s="1208"/>
      <c r="EH109" s="1208"/>
      <c r="EI109" s="1208"/>
      <c r="EJ109" s="1208"/>
      <c r="EK109" s="1208"/>
      <c r="EL109" s="1208"/>
      <c r="EM109" s="1208"/>
      <c r="EN109" s="1208"/>
      <c r="EO109" s="1208"/>
      <c r="EP109" s="1208"/>
      <c r="EQ109" s="1208"/>
      <c r="ER109" s="1208"/>
      <c r="ES109" s="1208"/>
      <c r="ET109" s="1208"/>
      <c r="EU109" s="1208"/>
      <c r="EV109" s="1208"/>
      <c r="EW109" s="1208"/>
      <c r="EX109" s="1208"/>
      <c r="EY109" s="1208"/>
      <c r="EZ109" s="1208"/>
      <c r="FA109" s="1208"/>
      <c r="FB109" s="1208"/>
      <c r="FC109" s="1208"/>
      <c r="FD109" s="1208"/>
      <c r="FE109" s="1208"/>
      <c r="FF109" s="1208"/>
      <c r="FG109" s="1208"/>
      <c r="FH109" s="1208"/>
      <c r="FI109" s="1208"/>
      <c r="FJ109" s="1208"/>
      <c r="FK109" s="1208"/>
      <c r="FL109" s="1208"/>
      <c r="FM109" s="1208"/>
      <c r="FN109" s="1208"/>
      <c r="FO109" s="1208"/>
      <c r="FP109" s="1208"/>
      <c r="FQ109" s="1208"/>
      <c r="FR109" s="1208"/>
      <c r="FS109" s="1208"/>
      <c r="FT109" s="1208"/>
      <c r="FU109" s="1208"/>
      <c r="FV109" s="1209"/>
      <c r="FW109" s="1203"/>
      <c r="FX109" s="1204"/>
    </row>
    <row s="927" customFormat="1" customHeight="1" ht="24.75">
      <c r="B110" s="925"/>
      <c r="C110" s="926"/>
      <c r="D110" s="926"/>
      <c r="E110" s="1837"/>
      <c r="F110" s="1210">
        <v>1</v>
      </c>
      <c r="G110" s="1211"/>
      <c r="H110" s="1212"/>
      <c r="I110" s="1984"/>
      <c r="J110" s="1213"/>
      <c r="K110" s="1213"/>
      <c r="L110" s="1213"/>
      <c r="M110" s="1213"/>
      <c r="N110" s="1213"/>
      <c r="O110" s="1214"/>
      <c r="P110" s="1214"/>
      <c r="Q110" s="1214"/>
      <c r="R110" s="1214"/>
      <c r="S110" s="1214"/>
      <c r="T110" s="1214"/>
      <c r="U110" s="1214"/>
      <c r="V110" s="1214"/>
      <c r="W110" s="1214"/>
      <c r="X110" s="1214"/>
      <c r="Y110" s="1214"/>
      <c r="Z110" s="1214"/>
      <c r="AA110" s="1214"/>
      <c r="AB110" s="1214"/>
      <c r="AC110" s="1213"/>
      <c r="AD110" s="1213"/>
      <c r="AE110" s="1213"/>
      <c r="AF110" s="1213"/>
      <c r="AG110" s="1213"/>
      <c r="AH110" s="1213"/>
      <c r="AI110" s="1213"/>
      <c r="AJ110" s="1213"/>
      <c r="AK110" s="1213"/>
      <c r="AL110" s="1213"/>
      <c r="AM110" s="1213"/>
      <c r="AN110" s="1213"/>
      <c r="AO110" s="1213"/>
      <c r="AP110" s="1213"/>
      <c r="AQ110" s="1213"/>
      <c r="AR110" s="1213"/>
      <c r="AS110" s="1213"/>
      <c r="AT110" s="1213"/>
      <c r="AU110" s="1213"/>
      <c r="AV110" s="1213"/>
      <c r="AW110" s="1213"/>
      <c r="AX110" s="1213"/>
      <c r="AY110" s="1213"/>
      <c r="AZ110" s="1213"/>
      <c r="BA110" s="1213"/>
      <c r="BB110" s="1213"/>
      <c r="BC110" s="1213"/>
      <c r="BD110" s="1213"/>
      <c r="BE110" s="1213"/>
      <c r="BF110" s="1213"/>
      <c r="BG110" s="1213"/>
      <c r="BH110" s="1213"/>
      <c r="BI110" s="1213"/>
      <c r="BJ110" s="1213"/>
      <c r="BK110" s="1213"/>
      <c r="BL110" s="1213"/>
      <c r="BM110" s="1213"/>
      <c r="BN110" s="1213"/>
      <c r="BO110" s="1213"/>
      <c r="BP110" s="1213"/>
      <c r="BQ110" s="1213"/>
      <c r="BR110" s="1213"/>
      <c r="BS110" s="1213"/>
      <c r="BT110" s="1214"/>
      <c r="BU110" s="1214"/>
      <c r="BV110" s="1214"/>
      <c r="BW110" s="1214"/>
      <c r="BX110" s="1214"/>
      <c r="BY110" s="1214"/>
      <c r="BZ110" s="1214"/>
      <c r="CA110" s="1214"/>
      <c r="CB110" s="1214"/>
      <c r="CC110" s="1214"/>
      <c r="CD110" s="1214"/>
      <c r="CE110" s="1214"/>
      <c r="CF110" s="1214"/>
      <c r="CG110" s="1214"/>
      <c r="CH110" s="1214"/>
      <c r="CI110" s="1214"/>
      <c r="CJ110" s="1214"/>
      <c r="CK110" s="1214"/>
      <c r="CL110" s="1213"/>
      <c r="CM110" s="1213"/>
      <c r="CN110" s="1213"/>
      <c r="CO110" s="1213"/>
      <c r="CP110" s="1213"/>
      <c r="CQ110" s="1213"/>
      <c r="CR110" s="1213"/>
      <c r="CS110" s="1213"/>
      <c r="CT110" s="1213"/>
      <c r="CU110" s="1213"/>
      <c r="CV110" s="1213"/>
      <c r="CW110" s="1213"/>
      <c r="CX110" s="1213"/>
      <c r="CY110" s="1214"/>
      <c r="CZ110" s="1214"/>
      <c r="DA110" s="1214"/>
      <c r="DB110" s="1214"/>
      <c r="DC110" s="1214"/>
      <c r="DD110" s="1214"/>
      <c r="DE110" s="1214"/>
      <c r="DF110" s="1214"/>
      <c r="DG110" s="1214"/>
      <c r="DH110" s="1214"/>
      <c r="DI110" s="1214"/>
      <c r="DJ110" s="1214"/>
      <c r="DK110" s="1213"/>
      <c r="DL110" s="1213"/>
      <c r="DM110" s="1213"/>
      <c r="DN110" s="1213"/>
      <c r="DO110" s="1213"/>
      <c r="DP110" s="1213"/>
      <c r="DQ110" s="1213"/>
      <c r="DR110" s="1213"/>
      <c r="DS110" s="1213"/>
      <c r="DT110" s="1213"/>
      <c r="DU110" s="1213"/>
      <c r="DV110" s="1213"/>
      <c r="DW110" s="1213"/>
      <c r="DX110" s="1213"/>
      <c r="DY110" s="1213"/>
      <c r="DZ110" s="1213"/>
      <c r="EA110" s="1213"/>
      <c r="EB110" s="1213"/>
      <c r="EC110" s="1213"/>
      <c r="ED110" s="1213"/>
      <c r="EE110" s="1213"/>
      <c r="EF110" s="1213"/>
      <c r="EG110" s="1213"/>
      <c r="EH110" s="1213"/>
      <c r="EI110" s="1213"/>
      <c r="EJ110" s="1213"/>
      <c r="EK110" s="1213"/>
      <c r="EL110" s="1213"/>
      <c r="EM110" s="1213"/>
      <c r="EN110" s="1213"/>
      <c r="EO110" s="1213"/>
      <c r="EP110" s="1213"/>
      <c r="EQ110" s="1213"/>
      <c r="ER110" s="1213"/>
      <c r="ES110" s="1213"/>
      <c r="ET110" s="1213"/>
      <c r="EU110" s="1213"/>
      <c r="EV110" s="1213"/>
      <c r="EW110" s="1213"/>
      <c r="EX110" s="1213"/>
      <c r="EY110" s="1213"/>
      <c r="EZ110" s="1213"/>
      <c r="FA110" s="1213"/>
      <c r="FB110" s="1213"/>
      <c r="FC110" s="1213"/>
      <c r="FD110" s="1213"/>
      <c r="FE110" s="1213"/>
      <c r="FF110" s="1213"/>
      <c r="FG110" s="1213"/>
      <c r="FH110" s="1213"/>
      <c r="FI110" s="1213"/>
      <c r="FJ110" s="1213"/>
      <c r="FK110" s="1213"/>
      <c r="FL110" s="1213"/>
      <c r="FM110" s="1213"/>
      <c r="FN110" s="1213"/>
      <c r="FO110" s="1213"/>
      <c r="FP110" s="1213"/>
      <c r="FQ110" s="1213"/>
      <c r="FR110" s="1213"/>
      <c r="FS110" s="1213"/>
      <c r="FT110" s="1213"/>
      <c r="FU110" s="1213"/>
      <c r="FV110" s="1213"/>
      <c r="FW110" s="1213"/>
      <c r="FX110" s="1204"/>
    </row>
    <row s="927" customFormat="1" customHeight="1" ht="12">
      <c r="A111" s="926"/>
      <c r="B111" s="925"/>
      <c r="C111" s="926"/>
      <c r="D111" s="926"/>
      <c r="E111" s="926"/>
      <c r="F111" s="1215"/>
      <c r="G111" s="1802" t="s">
        <v>1929</v>
      </c>
      <c r="H111" s="1216"/>
      <c r="I111" s="1216"/>
      <c r="J111" s="1216"/>
      <c r="K111" s="1216"/>
      <c r="L111" s="1216"/>
      <c r="M111" s="1216"/>
      <c r="N111" s="1216"/>
      <c r="O111" s="1216"/>
      <c r="P111" s="1216"/>
      <c r="Q111" s="1216"/>
      <c r="R111" s="1216"/>
      <c r="S111" s="1216"/>
      <c r="T111" s="1216"/>
      <c r="U111" s="1216"/>
      <c r="V111" s="1216"/>
      <c r="W111" s="1216"/>
      <c r="X111" s="1216"/>
      <c r="Y111" s="1216"/>
      <c r="Z111" s="1216"/>
      <c r="AA111" s="1216"/>
      <c r="AB111" s="1216"/>
      <c r="AC111" s="1216"/>
      <c r="AD111" s="1216"/>
      <c r="AE111" s="1216"/>
      <c r="AF111" s="1216"/>
      <c r="AG111" s="1216"/>
      <c r="AH111" s="1216"/>
      <c r="AI111" s="1216"/>
      <c r="AJ111" s="1216"/>
      <c r="AK111" s="1216"/>
      <c r="AL111" s="1216"/>
      <c r="AM111" s="1216"/>
      <c r="AN111" s="1216"/>
      <c r="AO111" s="1216"/>
      <c r="AP111" s="1216"/>
      <c r="AQ111" s="1216"/>
      <c r="AR111" s="1216"/>
      <c r="AS111" s="1216"/>
      <c r="AT111" s="1216"/>
      <c r="AU111" s="1216"/>
      <c r="AV111" s="1216"/>
      <c r="AW111" s="1216"/>
      <c r="AX111" s="1216"/>
      <c r="AY111" s="1216"/>
      <c r="AZ111" s="1216"/>
      <c r="BA111" s="1216"/>
      <c r="BB111" s="1216"/>
      <c r="BC111" s="1216"/>
      <c r="BD111" s="1216"/>
      <c r="BE111" s="1216"/>
      <c r="BF111" s="1216"/>
      <c r="BG111" s="1216"/>
      <c r="BH111" s="1216"/>
      <c r="BI111" s="1216"/>
      <c r="BJ111" s="1216"/>
      <c r="BK111" s="1216"/>
      <c r="BL111" s="1216"/>
      <c r="BM111" s="1216"/>
      <c r="BN111" s="1216"/>
      <c r="BO111" s="1216"/>
      <c r="BP111" s="1216"/>
      <c r="BQ111" s="1216"/>
      <c r="BR111" s="1216"/>
      <c r="BS111" s="1216"/>
      <c r="BT111" s="1216"/>
      <c r="BU111" s="1216"/>
      <c r="BV111" s="1216"/>
      <c r="BW111" s="1216"/>
      <c r="BX111" s="1216"/>
      <c r="BY111" s="1216"/>
      <c r="BZ111" s="1216"/>
      <c r="CA111" s="1216"/>
      <c r="CB111" s="1216"/>
      <c r="CC111" s="1216"/>
      <c r="CD111" s="1216"/>
      <c r="CE111" s="1216"/>
      <c r="CF111" s="1216"/>
      <c r="CG111" s="1216"/>
      <c r="CH111" s="1216"/>
      <c r="CI111" s="1216"/>
      <c r="CJ111" s="1216"/>
      <c r="CK111" s="1216"/>
      <c r="CL111" s="1216"/>
      <c r="CM111" s="1216"/>
      <c r="CN111" s="1216"/>
      <c r="CO111" s="1216"/>
      <c r="CP111" s="1216"/>
      <c r="CQ111" s="1216"/>
      <c r="CR111" s="1216"/>
      <c r="CS111" s="1216"/>
      <c r="CT111" s="1216"/>
      <c r="CU111" s="1216"/>
      <c r="CV111" s="1216"/>
      <c r="CW111" s="1216"/>
      <c r="CX111" s="1216"/>
      <c r="CY111" s="1216"/>
      <c r="CZ111" s="1216"/>
      <c r="DA111" s="1216"/>
      <c r="DB111" s="1216"/>
      <c r="DC111" s="1216"/>
      <c r="DD111" s="1216"/>
      <c r="DE111" s="1216"/>
      <c r="DF111" s="1216"/>
      <c r="DG111" s="1216"/>
      <c r="DH111" s="1216"/>
      <c r="DI111" s="1216"/>
      <c r="DJ111" s="1216"/>
      <c r="DK111" s="1216"/>
      <c r="DL111" s="1216"/>
      <c r="DM111" s="1216"/>
      <c r="DN111" s="1216"/>
      <c r="DO111" s="1216"/>
      <c r="DP111" s="1216"/>
      <c r="DQ111" s="1216"/>
      <c r="DR111" s="1216"/>
      <c r="DS111" s="1216"/>
      <c r="DT111" s="1216"/>
      <c r="DU111" s="1216"/>
      <c r="DV111" s="1216"/>
      <c r="DW111" s="1216"/>
      <c r="DX111" s="1216"/>
      <c r="DY111" s="1216"/>
      <c r="DZ111" s="1216"/>
      <c r="EA111" s="1216"/>
      <c r="EB111" s="1216"/>
      <c r="EC111" s="1216"/>
      <c r="ED111" s="1216"/>
      <c r="EE111" s="1216"/>
      <c r="EF111" s="1216"/>
      <c r="EG111" s="1216"/>
      <c r="EH111" s="1216"/>
      <c r="EI111" s="1216"/>
      <c r="EJ111" s="1216"/>
      <c r="EK111" s="1216"/>
      <c r="EL111" s="1216"/>
      <c r="EM111" s="1216"/>
      <c r="EN111" s="1216"/>
      <c r="EO111" s="1216"/>
      <c r="EP111" s="1216"/>
      <c r="EQ111" s="1216"/>
      <c r="ER111" s="1216"/>
      <c r="ES111" s="1216"/>
      <c r="ET111" s="1216"/>
      <c r="EU111" s="1216"/>
      <c r="EV111" s="1216"/>
      <c r="EW111" s="1216"/>
      <c r="EX111" s="1216"/>
      <c r="EY111" s="1216"/>
      <c r="EZ111" s="1216"/>
      <c r="FA111" s="1216"/>
      <c r="FB111" s="1216"/>
      <c r="FC111" s="1216"/>
      <c r="FD111" s="1216"/>
      <c r="FE111" s="1216"/>
      <c r="FF111" s="1216"/>
      <c r="FG111" s="1216"/>
      <c r="FH111" s="1216"/>
      <c r="FI111" s="1216"/>
      <c r="FJ111" s="1216"/>
      <c r="FK111" s="1216"/>
      <c r="FL111" s="1216"/>
      <c r="FM111" s="1216"/>
      <c r="FN111" s="1216"/>
      <c r="FO111" s="1216"/>
      <c r="FP111" s="1216"/>
      <c r="FQ111" s="1216"/>
      <c r="FR111" s="1216"/>
      <c r="FS111" s="1216"/>
      <c r="FT111" s="1216"/>
      <c r="FU111" s="1216"/>
      <c r="FV111" s="1216"/>
      <c r="FW111" s="1217"/>
      <c r="FX111" s="1218"/>
      <c r="FY111" s="943"/>
      <c r="FZ111" s="943"/>
      <c r="GA111" s="943"/>
      <c r="GB111" s="943"/>
    </row>
    <row r="113" s="1817" customFormat="1" customHeight="1" ht="11.25">
      <c r="A113" s="1817" t="s">
        <v>1930</v>
      </c>
    </row>
    <row r="115" s="1852" customFormat="1" customHeight="1" ht="15">
      <c r="A115" s="625"/>
      <c r="B115" s="626"/>
      <c r="C115" s="626"/>
      <c r="D115" s="2580" t="s">
        <v>109</v>
      </c>
      <c r="E115" s="2379" t="s">
        <v>105</v>
      </c>
      <c r="F115" s="2380"/>
      <c r="G115" s="2381"/>
      <c r="H115" s="2385" t="str">
        <f>IF(A115="","",INDEX(DIFFERENTIATION_UNMERGE_VD,MATCH(A115,DIFFERENTIATION_ID_DIFF,0)))</f>
        <v/>
      </c>
      <c r="I115" s="2385"/>
      <c r="J115" s="2385"/>
      <c r="K115" s="2385"/>
      <c r="L115" s="2385"/>
      <c r="M115" s="2385"/>
      <c r="N115" s="2385"/>
      <c r="O115" s="2385"/>
      <c r="P115" s="2385"/>
      <c r="Q115" s="2385"/>
      <c r="R115" s="2385"/>
      <c r="S115" s="721"/>
      <c r="T115" s="718"/>
      <c r="U115" s="627"/>
      <c r="V115" s="627"/>
      <c r="W115" s="628"/>
      <c r="X115" s="628"/>
      <c r="Y115" s="628"/>
      <c r="Z115" s="628"/>
      <c r="AA115" s="629"/>
      <c r="AB115" s="630"/>
      <c r="AC115" s="2377"/>
      <c r="AD115" s="631"/>
      <c r="AE115" s="632" t="s">
        <v>22</v>
      </c>
      <c r="AF115" s="632"/>
      <c r="AG115" s="633" t="s">
        <v>609</v>
      </c>
      <c r="AH115" s="634">
        <v>3</v>
      </c>
      <c r="AI115" s="627"/>
      <c r="AJ115" s="627"/>
      <c r="AK115" s="627"/>
      <c r="AL115" s="627"/>
      <c r="AM115" s="627"/>
      <c r="AN115" s="627"/>
      <c r="AO115" s="627"/>
      <c r="AP115" s="627"/>
      <c r="AQ115" s="627"/>
      <c r="AR115" s="627"/>
      <c r="AS115" s="627"/>
      <c r="AT115" s="627"/>
      <c r="AU115" s="627"/>
      <c r="AV115" s="627"/>
      <c r="AW115" s="627"/>
      <c r="AX115" s="627"/>
      <c r="AY115" s="627"/>
      <c r="AZ115" s="627"/>
      <c r="BA115" s="627"/>
      <c r="BB115" s="627"/>
      <c r="BC115" s="627"/>
      <c r="BD115" s="627"/>
      <c r="BE115" s="627"/>
      <c r="BF115" s="627"/>
      <c r="BG115" s="627"/>
      <c r="BH115" s="627"/>
      <c r="BI115" s="627"/>
      <c r="BJ115" s="627"/>
      <c r="BK115" s="627"/>
      <c r="BL115" s="627"/>
      <c r="BM115" s="627"/>
      <c r="BN115" s="627"/>
      <c r="BO115" s="627"/>
      <c r="BP115" s="627"/>
      <c r="BQ115" s="627"/>
      <c r="BR115" s="627"/>
      <c r="BS115" s="627"/>
      <c r="BT115" s="627"/>
      <c r="BU115" s="627"/>
      <c r="BV115" s="628"/>
      <c r="BW115" s="628"/>
      <c r="BX115" s="628"/>
      <c r="BY115" s="628"/>
      <c r="BZ115" s="628"/>
      <c r="CA115" s="628"/>
      <c r="CB115" s="628"/>
      <c r="CC115" s="628"/>
      <c r="CD115" s="628"/>
      <c r="CE115" s="628"/>
    </row>
    <row s="1852" customFormat="1" customHeight="1" ht="15">
      <c r="A116" s="625"/>
      <c r="B116" s="626"/>
      <c r="C116" s="626"/>
      <c r="D116" s="2581"/>
      <c r="E116" s="2379" t="s">
        <v>564</v>
      </c>
      <c r="F116" s="2380"/>
      <c r="G116" s="2381"/>
      <c r="H116" s="2385" t="str">
        <f>IF(A115="","",INDEX(DIFFERENTIATION_UNMERGE_AREA,MATCH(A115,DIFFERENTIATION_ID_DIFF,0)))</f>
        <v/>
      </c>
      <c r="I116" s="2385"/>
      <c r="J116" s="2385"/>
      <c r="K116" s="2385"/>
      <c r="L116" s="2385"/>
      <c r="M116" s="2385"/>
      <c r="N116" s="2385"/>
      <c r="O116" s="2385"/>
      <c r="P116" s="2385"/>
      <c r="Q116" s="2385"/>
      <c r="R116" s="2385"/>
      <c r="S116" s="721"/>
      <c r="T116" s="718"/>
      <c r="U116" s="627"/>
      <c r="V116" s="627"/>
      <c r="W116" s="628"/>
      <c r="X116" s="628"/>
      <c r="Y116" s="628"/>
      <c r="Z116" s="628"/>
      <c r="AA116" s="629"/>
      <c r="AB116" s="630"/>
      <c r="AC116" s="2377"/>
      <c r="AD116" s="631"/>
      <c r="AE116" s="632"/>
      <c r="AF116" s="632"/>
      <c r="AG116" s="633"/>
      <c r="AH116" s="634"/>
      <c r="AI116" s="627"/>
      <c r="AJ116" s="627"/>
      <c r="AK116" s="627"/>
      <c r="AL116" s="627"/>
      <c r="AM116" s="627"/>
      <c r="AN116" s="627"/>
      <c r="AO116" s="627"/>
      <c r="AP116" s="627"/>
      <c r="AQ116" s="627"/>
      <c r="AR116" s="627"/>
      <c r="AS116" s="627"/>
      <c r="AT116" s="627"/>
      <c r="AU116" s="627"/>
      <c r="AV116" s="627"/>
      <c r="AW116" s="627"/>
      <c r="AX116" s="627"/>
      <c r="AY116" s="627"/>
      <c r="AZ116" s="627"/>
      <c r="BA116" s="627"/>
      <c r="BB116" s="627"/>
      <c r="BC116" s="627"/>
      <c r="BD116" s="627"/>
      <c r="BE116" s="627"/>
      <c r="BF116" s="627"/>
      <c r="BG116" s="627"/>
      <c r="BH116" s="627"/>
      <c r="BI116" s="627"/>
      <c r="BJ116" s="627"/>
      <c r="BK116" s="627"/>
      <c r="BL116" s="627"/>
      <c r="BM116" s="627"/>
      <c r="BN116" s="627"/>
      <c r="BO116" s="627"/>
      <c r="BP116" s="627"/>
      <c r="BQ116" s="627"/>
      <c r="BR116" s="627"/>
      <c r="BS116" s="627"/>
      <c r="BT116" s="627"/>
      <c r="BU116" s="627"/>
      <c r="BV116" s="628"/>
      <c r="BW116" s="628"/>
      <c r="BX116" s="628"/>
      <c r="BY116" s="628"/>
      <c r="BZ116" s="628"/>
      <c r="CA116" s="628"/>
      <c r="CB116" s="628"/>
      <c r="CC116" s="628"/>
      <c r="CD116" s="628"/>
      <c r="CE116" s="628"/>
    </row>
    <row s="1852" customFormat="1" customHeight="1" ht="15">
      <c r="A117" s="625"/>
      <c r="B117" s="626"/>
      <c r="C117" s="626"/>
      <c r="D117" s="2581"/>
      <c r="E117" s="2379" t="s">
        <v>565</v>
      </c>
      <c r="F117" s="2380"/>
      <c r="G117" s="2381"/>
      <c r="H117" s="2385" t="str">
        <f>IF(A115="","",INDEX(DIFFERENTIATION_UNMERGE_SYSTEM,MATCH(A115,DIFFERENTIATION_ID_DIFF,0)))</f>
        <v/>
      </c>
      <c r="I117" s="2385"/>
      <c r="J117" s="2385"/>
      <c r="K117" s="2385"/>
      <c r="L117" s="2385"/>
      <c r="M117" s="2385"/>
      <c r="N117" s="2385"/>
      <c r="O117" s="2385"/>
      <c r="P117" s="2385"/>
      <c r="Q117" s="2385"/>
      <c r="R117" s="2385"/>
      <c r="S117" s="721"/>
      <c r="T117" s="718"/>
      <c r="U117" s="627"/>
      <c r="V117" s="627"/>
      <c r="W117" s="628"/>
      <c r="X117" s="628"/>
      <c r="Y117" s="628"/>
      <c r="Z117" s="628"/>
      <c r="AA117" s="629"/>
      <c r="AB117" s="630"/>
      <c r="AC117" s="2377"/>
      <c r="AD117" s="631"/>
      <c r="AE117" s="632"/>
      <c r="AF117" s="632"/>
      <c r="AG117" s="633"/>
      <c r="AH117" s="634"/>
      <c r="AI117" s="627"/>
      <c r="AJ117" s="627"/>
      <c r="AK117" s="627"/>
      <c r="AL117" s="627"/>
      <c r="AM117" s="627"/>
      <c r="AN117" s="627"/>
      <c r="AO117" s="627"/>
      <c r="AP117" s="627"/>
      <c r="AQ117" s="627"/>
      <c r="AR117" s="627"/>
      <c r="AS117" s="627"/>
      <c r="AT117" s="627"/>
      <c r="AU117" s="627"/>
      <c r="AV117" s="627"/>
      <c r="AW117" s="627"/>
      <c r="AX117" s="627"/>
      <c r="AY117" s="627"/>
      <c r="AZ117" s="627"/>
      <c r="BA117" s="627"/>
      <c r="BB117" s="627"/>
      <c r="BC117" s="627"/>
      <c r="BD117" s="627"/>
      <c r="BE117" s="627"/>
      <c r="BF117" s="627"/>
      <c r="BG117" s="627"/>
      <c r="BH117" s="627"/>
      <c r="BI117" s="627"/>
      <c r="BJ117" s="627"/>
      <c r="BK117" s="627"/>
      <c r="BL117" s="627"/>
      <c r="BM117" s="627"/>
      <c r="BN117" s="627"/>
      <c r="BO117" s="627"/>
      <c r="BP117" s="627"/>
      <c r="BQ117" s="627"/>
      <c r="BR117" s="627"/>
      <c r="BS117" s="627"/>
      <c r="BT117" s="627"/>
      <c r="BU117" s="627"/>
      <c r="BV117" s="628"/>
      <c r="BW117" s="628"/>
      <c r="BX117" s="628"/>
      <c r="BY117" s="628"/>
      <c r="BZ117" s="628"/>
      <c r="CA117" s="628"/>
      <c r="CB117" s="628"/>
      <c r="CC117" s="628"/>
      <c r="CD117" s="628"/>
      <c r="CE117" s="628"/>
    </row>
    <row s="1852" customFormat="1" customHeight="1" ht="24.75">
      <c r="A118" s="1808"/>
      <c r="B118" s="1162"/>
      <c r="C118" s="414"/>
      <c r="D118" s="2581"/>
      <c r="E118" s="2378" t="s">
        <v>610</v>
      </c>
      <c r="F118" s="2378"/>
      <c r="G118" s="2378"/>
      <c r="H118" s="2378"/>
      <c r="I118" s="2378"/>
      <c r="J118" s="2378"/>
      <c r="K118" s="2378"/>
      <c r="L118" s="2378"/>
      <c r="M118" s="2378"/>
      <c r="N118" s="2378"/>
      <c r="O118" s="2378"/>
      <c r="P118" s="2378"/>
      <c r="Q118" s="560">
        <f>SUMIF(T119:T120,"i",Q119:Q120)</f>
        <v>0</v>
      </c>
      <c r="R118" s="1019"/>
      <c r="S118" s="1800" t="s">
        <v>611</v>
      </c>
      <c r="T118" s="719" t="s">
        <v>612</v>
      </c>
      <c r="U118" s="2376">
        <v>1</v>
      </c>
      <c r="V118" s="2376" t="s">
        <v>575</v>
      </c>
      <c r="W118" s="1162"/>
      <c r="X118" s="1162"/>
      <c r="Y118" s="1162"/>
      <c r="Z118" s="1162"/>
      <c r="AA118" s="1638"/>
      <c r="AB118" s="1162"/>
      <c r="AC118" s="2377"/>
      <c r="AD118" s="631"/>
      <c r="AE118" s="1162"/>
      <c r="AF118" s="1162"/>
      <c r="AG118" s="1638"/>
      <c r="AH118" s="1638"/>
      <c r="AI118" s="1638"/>
      <c r="AJ118" s="1638"/>
      <c r="AK118" s="1638"/>
      <c r="AL118" s="1638"/>
      <c r="AM118" s="1638"/>
      <c r="AN118" s="1638"/>
      <c r="AO118" s="1638"/>
      <c r="AP118" s="1638"/>
      <c r="AQ118" s="1638"/>
      <c r="AR118" s="1638"/>
      <c r="AS118" s="1638"/>
      <c r="AT118" s="1638"/>
      <c r="AU118" s="1638"/>
      <c r="AV118" s="1638"/>
      <c r="AW118" s="1638"/>
      <c r="AX118" s="1638"/>
      <c r="AY118" s="1638"/>
      <c r="AZ118" s="1638"/>
      <c r="BA118" s="1638"/>
      <c r="BB118" s="1638"/>
      <c r="BC118" s="1638"/>
      <c r="BD118" s="1638"/>
      <c r="BE118" s="1638"/>
      <c r="BF118" s="1638"/>
      <c r="BG118" s="1638"/>
      <c r="BH118" s="1638"/>
      <c r="BI118" s="1638"/>
      <c r="BJ118" s="1638"/>
      <c r="BK118" s="1638"/>
      <c r="BL118" s="1638"/>
      <c r="BM118" s="1638"/>
      <c r="BN118" s="1638"/>
      <c r="BO118" s="1638"/>
      <c r="BP118" s="1638"/>
      <c r="BQ118" s="1638"/>
      <c r="BR118" s="1638"/>
      <c r="BS118" s="1638"/>
      <c r="BT118" s="1638"/>
      <c r="BU118" s="1638"/>
      <c r="BV118" s="1162"/>
      <c r="BW118" s="1162"/>
      <c r="BX118" s="1162"/>
      <c r="BY118" s="1162"/>
      <c r="BZ118" s="1162"/>
      <c r="CA118" s="1162"/>
      <c r="CB118" s="1162"/>
      <c r="CC118" s="1162"/>
      <c r="CD118" s="1162"/>
      <c r="CE118" s="1162"/>
    </row>
    <row s="1852" customFormat="1" customHeight="1" ht="11.25" hidden="1">
      <c r="A119" s="1795"/>
      <c r="B119" s="1638"/>
      <c r="C119" s="1638"/>
      <c r="D119" s="2581"/>
      <c r="E119" s="637"/>
      <c r="F119" s="637">
        <v>0</v>
      </c>
      <c r="G119" s="637"/>
      <c r="H119" s="637"/>
      <c r="I119" s="637"/>
      <c r="J119" s="637"/>
      <c r="K119" s="637"/>
      <c r="L119" s="637"/>
      <c r="M119" s="637"/>
      <c r="N119" s="637"/>
      <c r="O119" s="637"/>
      <c r="P119" s="637"/>
      <c r="Q119" s="637"/>
      <c r="R119" s="637"/>
      <c r="S119" s="638"/>
      <c r="T119" s="720"/>
      <c r="U119" s="2376"/>
      <c r="V119" s="2376"/>
      <c r="W119" s="1638"/>
      <c r="X119" s="1638"/>
      <c r="Y119" s="1638"/>
      <c r="Z119" s="1638"/>
      <c r="AA119" s="1638"/>
      <c r="AB119" s="1162"/>
      <c r="AC119" s="2377"/>
      <c r="AD119" s="631"/>
      <c r="AE119" s="1162"/>
      <c r="AF119" s="1162"/>
      <c r="AG119" s="1638"/>
      <c r="AH119" s="1638"/>
      <c r="AI119" s="1638"/>
      <c r="AJ119" s="1638"/>
      <c r="AK119" s="1638"/>
      <c r="AL119" s="1638"/>
      <c r="AM119" s="1638"/>
      <c r="AN119" s="1638"/>
      <c r="AO119" s="1638"/>
      <c r="AP119" s="1638"/>
      <c r="AQ119" s="1638"/>
      <c r="AR119" s="1638"/>
      <c r="AS119" s="1638"/>
      <c r="AT119" s="1638"/>
      <c r="AU119" s="1638"/>
      <c r="AV119" s="1638"/>
      <c r="AW119" s="1638"/>
      <c r="AX119" s="1638"/>
      <c r="AY119" s="1638"/>
      <c r="AZ119" s="1638"/>
      <c r="BA119" s="1638"/>
      <c r="BB119" s="1638"/>
      <c r="BC119" s="1638"/>
      <c r="BD119" s="1638"/>
      <c r="BE119" s="1638"/>
      <c r="BF119" s="1638"/>
      <c r="BG119" s="1638"/>
      <c r="BH119" s="1638"/>
      <c r="BI119" s="1638"/>
      <c r="BJ119" s="1638"/>
      <c r="BK119" s="1638"/>
      <c r="BL119" s="1638"/>
      <c r="BM119" s="1638"/>
      <c r="BN119" s="1638"/>
      <c r="BO119" s="1638"/>
      <c r="BP119" s="1638"/>
      <c r="BQ119" s="1638"/>
      <c r="BR119" s="1638"/>
      <c r="BS119" s="1638"/>
      <c r="BT119" s="1638"/>
      <c r="BU119" s="1638"/>
      <c r="BV119" s="1638"/>
      <c r="BW119" s="1638"/>
      <c r="BX119" s="1638"/>
      <c r="BY119" s="1638"/>
      <c r="BZ119" s="1638"/>
      <c r="CA119" s="1638"/>
      <c r="CB119" s="1638"/>
      <c r="CC119" s="1638"/>
      <c r="CD119" s="1638"/>
      <c r="CE119" s="1638"/>
    </row>
    <row s="1852" customFormat="1" customHeight="1" ht="11.25">
      <c r="A120" s="1808"/>
      <c r="B120" s="1162"/>
      <c r="C120" s="414"/>
      <c r="D120" s="2581"/>
      <c r="E120" s="651" t="s">
        <v>22</v>
      </c>
      <c r="F120" s="1170" t="s">
        <v>22</v>
      </c>
      <c r="G120" s="1170" t="s">
        <v>1931</v>
      </c>
      <c r="H120" s="653" t="s">
        <v>22</v>
      </c>
      <c r="I120" s="653"/>
      <c r="J120" s="653"/>
      <c r="K120" s="653"/>
      <c r="L120" s="653"/>
      <c r="M120" s="653"/>
      <c r="N120" s="653"/>
      <c r="O120" s="653"/>
      <c r="P120" s="653"/>
      <c r="Q120" s="653"/>
      <c r="R120" s="654"/>
      <c r="S120" s="655"/>
      <c r="T120" s="720"/>
      <c r="U120" s="2376"/>
      <c r="V120" s="2376"/>
      <c r="W120" s="1162"/>
      <c r="X120" s="1162"/>
      <c r="Y120" s="1162"/>
      <c r="Z120" s="1162"/>
      <c r="AA120" s="1638"/>
      <c r="AB120" s="1162"/>
      <c r="AC120" s="2377"/>
      <c r="AD120" s="631"/>
      <c r="AE120" s="1162"/>
      <c r="AF120" s="1162"/>
      <c r="AG120" s="1638"/>
      <c r="AH120" s="1638"/>
      <c r="AI120" s="1638"/>
      <c r="AJ120" s="1638"/>
      <c r="AK120" s="1638"/>
      <c r="AL120" s="1638"/>
      <c r="AM120" s="1638"/>
      <c r="AN120" s="1638"/>
      <c r="AO120" s="1638"/>
      <c r="AP120" s="1638"/>
      <c r="AQ120" s="1638"/>
      <c r="AR120" s="1638"/>
      <c r="AS120" s="1638"/>
      <c r="AT120" s="1638"/>
      <c r="AU120" s="1638"/>
      <c r="AV120" s="1638"/>
      <c r="AW120" s="1638"/>
      <c r="AX120" s="1638"/>
      <c r="AY120" s="1638"/>
      <c r="AZ120" s="1638"/>
      <c r="BA120" s="1638"/>
      <c r="BB120" s="1638"/>
      <c r="BC120" s="1638"/>
      <c r="BD120" s="1638"/>
      <c r="BE120" s="1638"/>
      <c r="BF120" s="1638"/>
      <c r="BG120" s="1638"/>
      <c r="BH120" s="1638"/>
      <c r="BI120" s="1638"/>
      <c r="BJ120" s="1638"/>
      <c r="BK120" s="1638"/>
      <c r="BL120" s="1638"/>
      <c r="BM120" s="1638"/>
      <c r="BN120" s="1638"/>
      <c r="BO120" s="1638"/>
      <c r="BP120" s="1638"/>
      <c r="BQ120" s="1638"/>
      <c r="BR120" s="1638"/>
      <c r="BS120" s="1638"/>
      <c r="BT120" s="1638"/>
      <c r="BU120" s="1638"/>
      <c r="BV120" s="1162"/>
      <c r="BW120" s="1162"/>
      <c r="BX120" s="1162"/>
      <c r="BY120" s="1162"/>
      <c r="BZ120" s="1162"/>
      <c r="CA120" s="1162"/>
      <c r="CB120" s="1162"/>
      <c r="CC120" s="1162"/>
      <c r="CD120" s="1162"/>
      <c r="CE120" s="1162"/>
    </row>
    <row s="1852" customFormat="1" customHeight="1" ht="24.75">
      <c r="A121" s="1808"/>
      <c r="B121" s="1162"/>
      <c r="C121" s="414"/>
      <c r="D121" s="2581"/>
      <c r="E121" s="2378" t="s">
        <v>613</v>
      </c>
      <c r="F121" s="2378"/>
      <c r="G121" s="2378"/>
      <c r="H121" s="2378"/>
      <c r="I121" s="2378"/>
      <c r="J121" s="2378"/>
      <c r="K121" s="2378"/>
      <c r="L121" s="2378"/>
      <c r="M121" s="2378"/>
      <c r="N121" s="2378"/>
      <c r="O121" s="2378"/>
      <c r="P121" s="2378"/>
      <c r="Q121" s="560">
        <f>SUMIF(T122:T123,"i",Q122:Q123)</f>
        <v>0</v>
      </c>
      <c r="R121" s="1019"/>
      <c r="S121" s="1800" t="s">
        <v>614</v>
      </c>
      <c r="T121" s="719" t="s">
        <v>612</v>
      </c>
      <c r="U121" s="2376">
        <v>1</v>
      </c>
      <c r="V121" s="2376" t="s">
        <v>575</v>
      </c>
      <c r="W121" s="1162"/>
      <c r="X121" s="1162"/>
      <c r="Y121" s="1162"/>
      <c r="Z121" s="1162"/>
      <c r="AA121" s="1638"/>
      <c r="AB121" s="1162"/>
      <c r="AC121" s="1798"/>
      <c r="AD121" s="631"/>
      <c r="AE121" s="1162"/>
      <c r="AF121" s="1162"/>
      <c r="AG121" s="1638"/>
      <c r="AH121" s="1638"/>
      <c r="AI121" s="1638"/>
      <c r="AJ121" s="1638"/>
      <c r="AK121" s="1638"/>
      <c r="AL121" s="1638"/>
      <c r="AM121" s="1638"/>
      <c r="AN121" s="1638"/>
      <c r="AO121" s="1638"/>
      <c r="AP121" s="1638"/>
      <c r="AQ121" s="1638"/>
      <c r="AR121" s="1638"/>
      <c r="AS121" s="1638"/>
      <c r="AT121" s="1638"/>
      <c r="AU121" s="1638"/>
      <c r="AV121" s="1638"/>
      <c r="AW121" s="1638"/>
      <c r="AX121" s="1638"/>
      <c r="AY121" s="1638"/>
      <c r="AZ121" s="1638"/>
      <c r="BA121" s="1638"/>
      <c r="BB121" s="1638"/>
      <c r="BC121" s="1638"/>
      <c r="BD121" s="1638"/>
      <c r="BE121" s="1638"/>
      <c r="BF121" s="1638"/>
      <c r="BG121" s="1638"/>
      <c r="BH121" s="1638"/>
      <c r="BI121" s="1638"/>
      <c r="BJ121" s="1638"/>
      <c r="BK121" s="1638"/>
      <c r="BL121" s="1638"/>
      <c r="BM121" s="1638"/>
      <c r="BN121" s="1638"/>
      <c r="BO121" s="1638"/>
      <c r="BP121" s="1638"/>
      <c r="BQ121" s="1638"/>
      <c r="BR121" s="1638"/>
      <c r="BS121" s="1638"/>
      <c r="BT121" s="1638"/>
      <c r="BU121" s="1638"/>
      <c r="BV121" s="1162"/>
      <c r="BW121" s="1162"/>
      <c r="BX121" s="1162"/>
      <c r="BY121" s="1162"/>
      <c r="BZ121" s="1162"/>
      <c r="CA121" s="1162"/>
      <c r="CB121" s="1162"/>
      <c r="CC121" s="1162"/>
      <c r="CD121" s="1162"/>
      <c r="CE121" s="1162"/>
    </row>
    <row s="1852" customFormat="1" customHeight="1" ht="11.25" hidden="1">
      <c r="A122" s="1795"/>
      <c r="B122" s="1638"/>
      <c r="C122" s="1638"/>
      <c r="D122" s="2581"/>
      <c r="E122" s="637"/>
      <c r="F122" s="637">
        <v>0</v>
      </c>
      <c r="G122" s="637"/>
      <c r="H122" s="637"/>
      <c r="I122" s="637"/>
      <c r="J122" s="637"/>
      <c r="K122" s="637"/>
      <c r="L122" s="637"/>
      <c r="M122" s="637"/>
      <c r="N122" s="637"/>
      <c r="O122" s="637"/>
      <c r="P122" s="637"/>
      <c r="Q122" s="637"/>
      <c r="R122" s="637"/>
      <c r="S122" s="638"/>
      <c r="T122" s="720"/>
      <c r="U122" s="2376"/>
      <c r="V122" s="2376"/>
      <c r="W122" s="1638"/>
      <c r="X122" s="1638"/>
      <c r="Y122" s="1638"/>
      <c r="Z122" s="1638"/>
      <c r="AA122" s="1638"/>
      <c r="AB122" s="1162"/>
      <c r="AC122" s="1798"/>
      <c r="AD122" s="631"/>
      <c r="AE122" s="1162"/>
      <c r="AF122" s="1162"/>
      <c r="AG122" s="1638"/>
      <c r="AH122" s="1638"/>
      <c r="AI122" s="1638"/>
      <c r="AJ122" s="1638"/>
      <c r="AK122" s="1638"/>
      <c r="AL122" s="1638"/>
      <c r="AM122" s="1638"/>
      <c r="AN122" s="1638"/>
      <c r="AO122" s="1638"/>
      <c r="AP122" s="1638"/>
      <c r="AQ122" s="1638"/>
      <c r="AR122" s="1638"/>
      <c r="AS122" s="1638"/>
      <c r="AT122" s="1638"/>
      <c r="AU122" s="1638"/>
      <c r="AV122" s="1638"/>
      <c r="AW122" s="1638"/>
      <c r="AX122" s="1638"/>
      <c r="AY122" s="1638"/>
      <c r="AZ122" s="1638"/>
      <c r="BA122" s="1638"/>
      <c r="BB122" s="1638"/>
      <c r="BC122" s="1638"/>
      <c r="BD122" s="1638"/>
      <c r="BE122" s="1638"/>
      <c r="BF122" s="1638"/>
      <c r="BG122" s="1638"/>
      <c r="BH122" s="1638"/>
      <c r="BI122" s="1638"/>
      <c r="BJ122" s="1638"/>
      <c r="BK122" s="1638"/>
      <c r="BL122" s="1638"/>
      <c r="BM122" s="1638"/>
      <c r="BN122" s="1638"/>
      <c r="BO122" s="1638"/>
      <c r="BP122" s="1638"/>
      <c r="BQ122" s="1638"/>
      <c r="BR122" s="1638"/>
      <c r="BS122" s="1638"/>
      <c r="BT122" s="1638"/>
      <c r="BU122" s="1638"/>
      <c r="BV122" s="1638"/>
      <c r="BW122" s="1638"/>
      <c r="BX122" s="1638"/>
      <c r="BY122" s="1638"/>
      <c r="BZ122" s="1638"/>
      <c r="CA122" s="1638"/>
      <c r="CB122" s="1638"/>
      <c r="CC122" s="1638"/>
      <c r="CD122" s="1638"/>
      <c r="CE122" s="1638"/>
    </row>
    <row s="1852" customFormat="1" customHeight="1" ht="11.25">
      <c r="A123" s="1808"/>
      <c r="B123" s="1162"/>
      <c r="C123" s="414"/>
      <c r="D123" s="2582"/>
      <c r="E123" s="651" t="s">
        <v>22</v>
      </c>
      <c r="F123" s="1170" t="s">
        <v>22</v>
      </c>
      <c r="G123" s="1170" t="s">
        <v>1931</v>
      </c>
      <c r="H123" s="653" t="s">
        <v>22</v>
      </c>
      <c r="I123" s="653"/>
      <c r="J123" s="653"/>
      <c r="K123" s="653"/>
      <c r="L123" s="653"/>
      <c r="M123" s="653"/>
      <c r="N123" s="653"/>
      <c r="O123" s="653"/>
      <c r="P123" s="653"/>
      <c r="Q123" s="653"/>
      <c r="R123" s="654"/>
      <c r="S123" s="655"/>
      <c r="T123" s="720"/>
      <c r="U123" s="2376"/>
      <c r="V123" s="2376"/>
      <c r="W123" s="1162"/>
      <c r="X123" s="1162"/>
      <c r="Y123" s="1162"/>
      <c r="Z123" s="1162"/>
      <c r="AA123" s="1638"/>
      <c r="AB123" s="1162"/>
      <c r="AC123" s="1798"/>
      <c r="AD123" s="631"/>
      <c r="AE123" s="1162"/>
      <c r="AF123" s="1162"/>
      <c r="AG123" s="1638"/>
      <c r="AH123" s="1638"/>
      <c r="AI123" s="1638"/>
      <c r="AJ123" s="1638"/>
      <c r="AK123" s="1638"/>
      <c r="AL123" s="1638"/>
      <c r="AM123" s="1638"/>
      <c r="AN123" s="1638"/>
      <c r="AO123" s="1638"/>
      <c r="AP123" s="1638"/>
      <c r="AQ123" s="1638"/>
      <c r="AR123" s="1638"/>
      <c r="AS123" s="1638"/>
      <c r="AT123" s="1638"/>
      <c r="AU123" s="1638"/>
      <c r="AV123" s="1638"/>
      <c r="AW123" s="1638"/>
      <c r="AX123" s="1638"/>
      <c r="AY123" s="1638"/>
      <c r="AZ123" s="1638"/>
      <c r="BA123" s="1638"/>
      <c r="BB123" s="1638"/>
      <c r="BC123" s="1638"/>
      <c r="BD123" s="1638"/>
      <c r="BE123" s="1638"/>
      <c r="BF123" s="1638"/>
      <c r="BG123" s="1638"/>
      <c r="BH123" s="1638"/>
      <c r="BI123" s="1638"/>
      <c r="BJ123" s="1638"/>
      <c r="BK123" s="1638"/>
      <c r="BL123" s="1638"/>
      <c r="BM123" s="1638"/>
      <c r="BN123" s="1638"/>
      <c r="BO123" s="1638"/>
      <c r="BP123" s="1638"/>
      <c r="BQ123" s="1638"/>
      <c r="BR123" s="1638"/>
      <c r="BS123" s="1638"/>
      <c r="BT123" s="1638"/>
      <c r="BU123" s="1638"/>
      <c r="BV123" s="1162"/>
      <c r="BW123" s="1162"/>
      <c r="BX123" s="1162"/>
      <c r="BY123" s="1162"/>
      <c r="BZ123" s="1162"/>
      <c r="CA123" s="1162"/>
      <c r="CB123" s="1162"/>
      <c r="CC123" s="1162"/>
      <c r="CD123" s="1162"/>
      <c r="CE123" s="1162"/>
    </row>
    <row r="125" s="1817" customFormat="1" customHeight="1" ht="11.25">
      <c r="A125" s="1817" t="s">
        <v>1932</v>
      </c>
    </row>
    <row r="127" s="1852" customFormat="1" customHeight="1" ht="15">
      <c r="A127" s="625"/>
      <c r="B127" s="626"/>
      <c r="C127" s="626"/>
      <c r="D127" s="2580" t="s">
        <v>109</v>
      </c>
      <c r="E127" s="2379" t="s">
        <v>105</v>
      </c>
      <c r="F127" s="2380"/>
      <c r="G127" s="2381"/>
      <c r="H127" s="2385" t="str">
        <f>IF(A127="","",INDEX(DIFFERENTIATION_UNMERGE_VD,MATCH(A127,DIFFERENTIATION_ID_DIFF,0)))</f>
        <v/>
      </c>
      <c r="I127" s="2385"/>
      <c r="J127" s="2385"/>
      <c r="K127" s="2385"/>
      <c r="L127" s="2385"/>
      <c r="M127" s="2385"/>
      <c r="N127" s="2385"/>
      <c r="O127" s="2385"/>
      <c r="P127" s="2385"/>
      <c r="Q127" s="2385"/>
      <c r="R127" s="2385"/>
      <c r="S127" s="721"/>
      <c r="T127" s="718"/>
      <c r="U127" s="627"/>
      <c r="V127" s="627"/>
      <c r="W127" s="628"/>
      <c r="X127" s="628"/>
      <c r="Y127" s="628"/>
      <c r="Z127" s="628"/>
      <c r="AA127" s="629"/>
      <c r="AB127" s="630"/>
      <c r="AC127" s="2377"/>
      <c r="AD127" s="631"/>
      <c r="AE127" s="632" t="s">
        <v>22</v>
      </c>
      <c r="AF127" s="632"/>
      <c r="AG127" s="633" t="s">
        <v>609</v>
      </c>
      <c r="AH127" s="634">
        <v>3</v>
      </c>
      <c r="AI127" s="627"/>
      <c r="AJ127" s="627"/>
      <c r="AK127" s="627"/>
      <c r="AL127" s="627"/>
      <c r="AM127" s="627"/>
      <c r="AN127" s="627"/>
      <c r="AO127" s="627"/>
      <c r="AP127" s="627"/>
      <c r="AQ127" s="627"/>
      <c r="AR127" s="627"/>
      <c r="AS127" s="627"/>
      <c r="AT127" s="627"/>
      <c r="AU127" s="627"/>
      <c r="AV127" s="627"/>
      <c r="AW127" s="627"/>
      <c r="AX127" s="627"/>
      <c r="AY127" s="627"/>
      <c r="AZ127" s="627"/>
      <c r="BA127" s="627"/>
      <c r="BB127" s="627"/>
      <c r="BC127" s="627"/>
      <c r="BD127" s="627"/>
      <c r="BE127" s="627"/>
      <c r="BF127" s="627"/>
      <c r="BG127" s="627"/>
      <c r="BH127" s="627"/>
      <c r="BI127" s="627"/>
      <c r="BJ127" s="627"/>
      <c r="BK127" s="627"/>
      <c r="BL127" s="627"/>
      <c r="BM127" s="627"/>
      <c r="BN127" s="627"/>
      <c r="BO127" s="627"/>
      <c r="BP127" s="627"/>
      <c r="BQ127" s="627"/>
      <c r="BR127" s="627"/>
      <c r="BS127" s="627"/>
      <c r="BT127" s="627"/>
      <c r="BU127" s="627"/>
      <c r="BV127" s="628"/>
      <c r="BW127" s="628"/>
      <c r="BX127" s="628"/>
      <c r="BY127" s="628"/>
      <c r="BZ127" s="628"/>
      <c r="CA127" s="628"/>
      <c r="CB127" s="628"/>
      <c r="CC127" s="628"/>
      <c r="CD127" s="628"/>
      <c r="CE127" s="628"/>
    </row>
    <row s="1852" customFormat="1" customHeight="1" ht="15">
      <c r="A128" s="625"/>
      <c r="B128" s="626"/>
      <c r="C128" s="626"/>
      <c r="D128" s="2581"/>
      <c r="E128" s="2379" t="s">
        <v>564</v>
      </c>
      <c r="F128" s="2380"/>
      <c r="G128" s="2381"/>
      <c r="H128" s="2385" t="str">
        <f>IF(A127="","",INDEX(DIFFERENTIATION_UNMERGE_AREA,MATCH(A127,DIFFERENTIATION_ID_DIFF,0)))</f>
        <v/>
      </c>
      <c r="I128" s="2385"/>
      <c r="J128" s="2385"/>
      <c r="K128" s="2385"/>
      <c r="L128" s="2385"/>
      <c r="M128" s="2385"/>
      <c r="N128" s="2385"/>
      <c r="O128" s="2385"/>
      <c r="P128" s="2385"/>
      <c r="Q128" s="2385"/>
      <c r="R128" s="2385"/>
      <c r="S128" s="721"/>
      <c r="T128" s="718"/>
      <c r="U128" s="627"/>
      <c r="V128" s="627"/>
      <c r="W128" s="628"/>
      <c r="X128" s="628"/>
      <c r="Y128" s="628"/>
      <c r="Z128" s="628"/>
      <c r="AA128" s="629"/>
      <c r="AB128" s="630"/>
      <c r="AC128" s="2377"/>
      <c r="AD128" s="631"/>
      <c r="AE128" s="632"/>
      <c r="AF128" s="632"/>
      <c r="AG128" s="633"/>
      <c r="AH128" s="634"/>
      <c r="AI128" s="627"/>
      <c r="AJ128" s="627"/>
      <c r="AK128" s="627"/>
      <c r="AL128" s="627"/>
      <c r="AM128" s="627"/>
      <c r="AN128" s="627"/>
      <c r="AO128" s="627"/>
      <c r="AP128" s="627"/>
      <c r="AQ128" s="627"/>
      <c r="AR128" s="627"/>
      <c r="AS128" s="627"/>
      <c r="AT128" s="627"/>
      <c r="AU128" s="627"/>
      <c r="AV128" s="627"/>
      <c r="AW128" s="627"/>
      <c r="AX128" s="627"/>
      <c r="AY128" s="627"/>
      <c r="AZ128" s="627"/>
      <c r="BA128" s="627"/>
      <c r="BB128" s="627"/>
      <c r="BC128" s="627"/>
      <c r="BD128" s="627"/>
      <c r="BE128" s="627"/>
      <c r="BF128" s="627"/>
      <c r="BG128" s="627"/>
      <c r="BH128" s="627"/>
      <c r="BI128" s="627"/>
      <c r="BJ128" s="627"/>
      <c r="BK128" s="627"/>
      <c r="BL128" s="627"/>
      <c r="BM128" s="627"/>
      <c r="BN128" s="627"/>
      <c r="BO128" s="627"/>
      <c r="BP128" s="627"/>
      <c r="BQ128" s="627"/>
      <c r="BR128" s="627"/>
      <c r="BS128" s="627"/>
      <c r="BT128" s="627"/>
      <c r="BU128" s="627"/>
      <c r="BV128" s="628"/>
      <c r="BW128" s="628"/>
      <c r="BX128" s="628"/>
      <c r="BY128" s="628"/>
      <c r="BZ128" s="628"/>
      <c r="CA128" s="628"/>
      <c r="CB128" s="628"/>
      <c r="CC128" s="628"/>
      <c r="CD128" s="628"/>
      <c r="CE128" s="628"/>
    </row>
    <row s="1852" customFormat="1" customHeight="1" ht="15">
      <c r="A129" s="625"/>
      <c r="B129" s="626"/>
      <c r="C129" s="626"/>
      <c r="D129" s="2581"/>
      <c r="E129" s="2379" t="s">
        <v>565</v>
      </c>
      <c r="F129" s="2380"/>
      <c r="G129" s="2381"/>
      <c r="H129" s="2385" t="str">
        <f>IF(A127="","",INDEX(DIFFERENTIATION_UNMERGE_SYSTEM,MATCH(A127,DIFFERENTIATION_ID_DIFF,0)))</f>
        <v/>
      </c>
      <c r="I129" s="2385"/>
      <c r="J129" s="2385"/>
      <c r="K129" s="2385"/>
      <c r="L129" s="2385"/>
      <c r="M129" s="2385"/>
      <c r="N129" s="2385"/>
      <c r="O129" s="2385"/>
      <c r="P129" s="2385"/>
      <c r="Q129" s="2385"/>
      <c r="R129" s="2385"/>
      <c r="S129" s="721"/>
      <c r="T129" s="718"/>
      <c r="U129" s="627"/>
      <c r="V129" s="627"/>
      <c r="W129" s="628"/>
      <c r="X129" s="628"/>
      <c r="Y129" s="628"/>
      <c r="Z129" s="628"/>
      <c r="AA129" s="629"/>
      <c r="AB129" s="630"/>
      <c r="AC129" s="2377"/>
      <c r="AD129" s="631"/>
      <c r="AE129" s="632"/>
      <c r="AF129" s="632"/>
      <c r="AG129" s="633"/>
      <c r="AH129" s="634"/>
      <c r="AI129" s="627"/>
      <c r="AJ129" s="627"/>
      <c r="AK129" s="627"/>
      <c r="AL129" s="627"/>
      <c r="AM129" s="627"/>
      <c r="AN129" s="627"/>
      <c r="AO129" s="627"/>
      <c r="AP129" s="627"/>
      <c r="AQ129" s="627"/>
      <c r="AR129" s="627"/>
      <c r="AS129" s="627"/>
      <c r="AT129" s="627"/>
      <c r="AU129" s="627"/>
      <c r="AV129" s="627"/>
      <c r="AW129" s="627"/>
      <c r="AX129" s="627"/>
      <c r="AY129" s="627"/>
      <c r="AZ129" s="627"/>
      <c r="BA129" s="627"/>
      <c r="BB129" s="627"/>
      <c r="BC129" s="627"/>
      <c r="BD129" s="627"/>
      <c r="BE129" s="627"/>
      <c r="BF129" s="627"/>
      <c r="BG129" s="627"/>
      <c r="BH129" s="627"/>
      <c r="BI129" s="627"/>
      <c r="BJ129" s="627"/>
      <c r="BK129" s="627"/>
      <c r="BL129" s="627"/>
      <c r="BM129" s="627"/>
      <c r="BN129" s="627"/>
      <c r="BO129" s="627"/>
      <c r="BP129" s="627"/>
      <c r="BQ129" s="627"/>
      <c r="BR129" s="627"/>
      <c r="BS129" s="627"/>
      <c r="BT129" s="627"/>
      <c r="BU129" s="627"/>
      <c r="BV129" s="628"/>
      <c r="BW129" s="628"/>
      <c r="BX129" s="628"/>
      <c r="BY129" s="628"/>
      <c r="BZ129" s="628"/>
      <c r="CA129" s="628"/>
      <c r="CB129" s="628"/>
      <c r="CC129" s="628"/>
      <c r="CD129" s="628"/>
      <c r="CE129" s="628"/>
    </row>
    <row s="1852" customFormat="1" customHeight="1" ht="24.75">
      <c r="A130" s="1808"/>
      <c r="B130" s="1162"/>
      <c r="C130" s="414"/>
      <c r="D130" s="2581"/>
      <c r="E130" s="2378" t="s">
        <v>610</v>
      </c>
      <c r="F130" s="2378"/>
      <c r="G130" s="2378"/>
      <c r="H130" s="2378"/>
      <c r="I130" s="2378"/>
      <c r="J130" s="2378"/>
      <c r="K130" s="2378"/>
      <c r="L130" s="2378"/>
      <c r="M130" s="2378"/>
      <c r="N130" s="2378"/>
      <c r="O130" s="2378"/>
      <c r="P130" s="2378"/>
      <c r="Q130" s="560">
        <f>SUMIF(T131:T132,"i",Q131:Q132)</f>
        <v>0</v>
      </c>
      <c r="R130" s="1019"/>
      <c r="S130" s="1800" t="s">
        <v>611</v>
      </c>
      <c r="T130" s="719" t="s">
        <v>612</v>
      </c>
      <c r="U130" s="2376">
        <v>1</v>
      </c>
      <c r="V130" s="2376" t="s">
        <v>575</v>
      </c>
      <c r="W130" s="1162"/>
      <c r="X130" s="1162"/>
      <c r="Y130" s="1162"/>
      <c r="Z130" s="1162"/>
      <c r="AA130" s="1638"/>
      <c r="AB130" s="1162"/>
      <c r="AC130" s="2377"/>
      <c r="AD130" s="631"/>
      <c r="AE130" s="1162"/>
      <c r="AF130" s="1162"/>
      <c r="AG130" s="1638"/>
      <c r="AH130" s="1638"/>
      <c r="AI130" s="1638"/>
      <c r="AJ130" s="1638"/>
      <c r="AK130" s="1638"/>
      <c r="AL130" s="1638"/>
      <c r="AM130" s="1638"/>
      <c r="AN130" s="1638"/>
      <c r="AO130" s="1638"/>
      <c r="AP130" s="1638"/>
      <c r="AQ130" s="1638"/>
      <c r="AR130" s="1638"/>
      <c r="AS130" s="1638"/>
      <c r="AT130" s="1638"/>
      <c r="AU130" s="1638"/>
      <c r="AV130" s="1638"/>
      <c r="AW130" s="1638"/>
      <c r="AX130" s="1638"/>
      <c r="AY130" s="1638"/>
      <c r="AZ130" s="1638"/>
      <c r="BA130" s="1638"/>
      <c r="BB130" s="1638"/>
      <c r="BC130" s="1638"/>
      <c r="BD130" s="1638"/>
      <c r="BE130" s="1638"/>
      <c r="BF130" s="1638"/>
      <c r="BG130" s="1638"/>
      <c r="BH130" s="1638"/>
      <c r="BI130" s="1638"/>
      <c r="BJ130" s="1638"/>
      <c r="BK130" s="1638"/>
      <c r="BL130" s="1638"/>
      <c r="BM130" s="1638"/>
      <c r="BN130" s="1638"/>
      <c r="BO130" s="1638"/>
      <c r="BP130" s="1638"/>
      <c r="BQ130" s="1638"/>
      <c r="BR130" s="1638"/>
      <c r="BS130" s="1638"/>
      <c r="BT130" s="1638"/>
      <c r="BU130" s="1638"/>
      <c r="BV130" s="1162"/>
      <c r="BW130" s="1162"/>
      <c r="BX130" s="1162"/>
      <c r="BY130" s="1162"/>
      <c r="BZ130" s="1162"/>
      <c r="CA130" s="1162"/>
      <c r="CB130" s="1162"/>
      <c r="CC130" s="1162"/>
      <c r="CD130" s="1162"/>
      <c r="CE130" s="1162"/>
    </row>
    <row s="1852" customFormat="1" customHeight="1" ht="11.25" hidden="1">
      <c r="A131" s="1795"/>
      <c r="B131" s="1638"/>
      <c r="C131" s="1638"/>
      <c r="D131" s="2581"/>
      <c r="E131" s="637"/>
      <c r="F131" s="637">
        <v>0</v>
      </c>
      <c r="G131" s="637"/>
      <c r="H131" s="637"/>
      <c r="I131" s="637"/>
      <c r="J131" s="637"/>
      <c r="K131" s="637"/>
      <c r="L131" s="637"/>
      <c r="M131" s="637"/>
      <c r="N131" s="637"/>
      <c r="O131" s="637"/>
      <c r="P131" s="637"/>
      <c r="Q131" s="637"/>
      <c r="R131" s="637"/>
      <c r="S131" s="638"/>
      <c r="T131" s="720"/>
      <c r="U131" s="2376"/>
      <c r="V131" s="2376"/>
      <c r="W131" s="1638"/>
      <c r="X131" s="1638"/>
      <c r="Y131" s="1638"/>
      <c r="Z131" s="1638"/>
      <c r="AA131" s="1638"/>
      <c r="AB131" s="1162"/>
      <c r="AC131" s="2377"/>
      <c r="AD131" s="631"/>
      <c r="AE131" s="1162"/>
      <c r="AF131" s="1162"/>
      <c r="AG131" s="1638"/>
      <c r="AH131" s="1638"/>
      <c r="AI131" s="1638"/>
      <c r="AJ131" s="1638"/>
      <c r="AK131" s="1638"/>
      <c r="AL131" s="1638"/>
      <c r="AM131" s="1638"/>
      <c r="AN131" s="1638"/>
      <c r="AO131" s="1638"/>
      <c r="AP131" s="1638"/>
      <c r="AQ131" s="1638"/>
      <c r="AR131" s="1638"/>
      <c r="AS131" s="1638"/>
      <c r="AT131" s="1638"/>
      <c r="AU131" s="1638"/>
      <c r="AV131" s="1638"/>
      <c r="AW131" s="1638"/>
      <c r="AX131" s="1638"/>
      <c r="AY131" s="1638"/>
      <c r="AZ131" s="1638"/>
      <c r="BA131" s="1638"/>
      <c r="BB131" s="1638"/>
      <c r="BC131" s="1638"/>
      <c r="BD131" s="1638"/>
      <c r="BE131" s="1638"/>
      <c r="BF131" s="1638"/>
      <c r="BG131" s="1638"/>
      <c r="BH131" s="1638"/>
      <c r="BI131" s="1638"/>
      <c r="BJ131" s="1638"/>
      <c r="BK131" s="1638"/>
      <c r="BL131" s="1638"/>
      <c r="BM131" s="1638"/>
      <c r="BN131" s="1638"/>
      <c r="BO131" s="1638"/>
      <c r="BP131" s="1638"/>
      <c r="BQ131" s="1638"/>
      <c r="BR131" s="1638"/>
      <c r="BS131" s="1638"/>
      <c r="BT131" s="1638"/>
      <c r="BU131" s="1638"/>
      <c r="BV131" s="1638"/>
      <c r="BW131" s="1638"/>
      <c r="BX131" s="1638"/>
      <c r="BY131" s="1638"/>
      <c r="BZ131" s="1638"/>
      <c r="CA131" s="1638"/>
      <c r="CB131" s="1638"/>
      <c r="CC131" s="1638"/>
      <c r="CD131" s="1638"/>
      <c r="CE131" s="1638"/>
    </row>
    <row s="1852" customFormat="1" customHeight="1" ht="11.25">
      <c r="A132" s="1808"/>
      <c r="B132" s="1162"/>
      <c r="C132" s="414"/>
      <c r="D132" s="2581"/>
      <c r="E132" s="651" t="s">
        <v>22</v>
      </c>
      <c r="F132" s="1170" t="s">
        <v>22</v>
      </c>
      <c r="G132" s="1170" t="s">
        <v>1931</v>
      </c>
      <c r="H132" s="653" t="s">
        <v>22</v>
      </c>
      <c r="I132" s="653"/>
      <c r="J132" s="653"/>
      <c r="K132" s="653"/>
      <c r="L132" s="653"/>
      <c r="M132" s="653"/>
      <c r="N132" s="653"/>
      <c r="O132" s="653"/>
      <c r="P132" s="653"/>
      <c r="Q132" s="653"/>
      <c r="R132" s="654"/>
      <c r="S132" s="655"/>
      <c r="T132" s="720"/>
      <c r="U132" s="2376"/>
      <c r="V132" s="2376"/>
      <c r="W132" s="1162"/>
      <c r="X132" s="1162"/>
      <c r="Y132" s="1162"/>
      <c r="Z132" s="1162"/>
      <c r="AA132" s="1638"/>
      <c r="AB132" s="1162"/>
      <c r="AC132" s="2377"/>
      <c r="AD132" s="631"/>
      <c r="AE132" s="1162"/>
      <c r="AF132" s="1162"/>
      <c r="AG132" s="1638"/>
      <c r="AH132" s="1638"/>
      <c r="AI132" s="1638"/>
      <c r="AJ132" s="1638"/>
      <c r="AK132" s="1638"/>
      <c r="AL132" s="1638"/>
      <c r="AM132" s="1638"/>
      <c r="AN132" s="1638"/>
      <c r="AO132" s="1638"/>
      <c r="AP132" s="1638"/>
      <c r="AQ132" s="1638"/>
      <c r="AR132" s="1638"/>
      <c r="AS132" s="1638"/>
      <c r="AT132" s="1638"/>
      <c r="AU132" s="1638"/>
      <c r="AV132" s="1638"/>
      <c r="AW132" s="1638"/>
      <c r="AX132" s="1638"/>
      <c r="AY132" s="1638"/>
      <c r="AZ132" s="1638"/>
      <c r="BA132" s="1638"/>
      <c r="BB132" s="1638"/>
      <c r="BC132" s="1638"/>
      <c r="BD132" s="1638"/>
      <c r="BE132" s="1638"/>
      <c r="BF132" s="1638"/>
      <c r="BG132" s="1638"/>
      <c r="BH132" s="1638"/>
      <c r="BI132" s="1638"/>
      <c r="BJ132" s="1638"/>
      <c r="BK132" s="1638"/>
      <c r="BL132" s="1638"/>
      <c r="BM132" s="1638"/>
      <c r="BN132" s="1638"/>
      <c r="BO132" s="1638"/>
      <c r="BP132" s="1638"/>
      <c r="BQ132" s="1638"/>
      <c r="BR132" s="1638"/>
      <c r="BS132" s="1638"/>
      <c r="BT132" s="1638"/>
      <c r="BU132" s="1638"/>
      <c r="BV132" s="1162"/>
      <c r="BW132" s="1162"/>
      <c r="BX132" s="1162"/>
      <c r="BY132" s="1162"/>
      <c r="BZ132" s="1162"/>
      <c r="CA132" s="1162"/>
      <c r="CB132" s="1162"/>
      <c r="CC132" s="1162"/>
      <c r="CD132" s="1162"/>
      <c r="CE132" s="1162"/>
    </row>
    <row s="1318" customFormat="1" customHeight="1" ht="5.25" hidden="1">
      <c r="A133" s="1795"/>
      <c r="B133" s="1638"/>
      <c r="C133" s="1638"/>
      <c r="D133" s="2581"/>
      <c r="E133" s="1041"/>
      <c r="F133" s="1041"/>
      <c r="G133" s="1041"/>
      <c r="H133" s="1041"/>
      <c r="I133" s="1041"/>
      <c r="J133" s="1041"/>
      <c r="K133" s="1041"/>
      <c r="L133" s="1041"/>
      <c r="M133" s="1041"/>
      <c r="N133" s="1041"/>
      <c r="O133" s="1041"/>
      <c r="P133" s="1041"/>
      <c r="Q133" s="1042"/>
      <c r="R133" s="1043"/>
      <c r="S133" s="1044"/>
      <c r="T133" s="719" t="s">
        <v>612</v>
      </c>
      <c r="U133" s="2376">
        <v>1</v>
      </c>
      <c r="V133" s="2376" t="s">
        <v>575</v>
      </c>
      <c r="W133" s="1638"/>
      <c r="X133" s="1638"/>
      <c r="Y133" s="1638"/>
      <c r="Z133" s="1638"/>
      <c r="AA133" s="1638"/>
      <c r="AB133" s="1638"/>
      <c r="AC133" s="1039"/>
      <c r="AD133" s="1040"/>
      <c r="AE133" s="1638"/>
      <c r="AF133" s="1638"/>
      <c r="AG133" s="1638"/>
      <c r="AH133" s="1638"/>
      <c r="AI133" s="1638"/>
      <c r="AJ133" s="1638"/>
      <c r="AK133" s="1638"/>
      <c r="AL133" s="1638"/>
      <c r="AM133" s="1638"/>
      <c r="AN133" s="1638"/>
      <c r="AO133" s="1638"/>
      <c r="AP133" s="1638"/>
      <c r="AQ133" s="1638"/>
      <c r="AR133" s="1638"/>
      <c r="AS133" s="1638"/>
      <c r="AT133" s="1638"/>
      <c r="AU133" s="1638"/>
      <c r="AV133" s="1638"/>
      <c r="AW133" s="1638"/>
      <c r="AX133" s="1638"/>
      <c r="AY133" s="1638"/>
      <c r="AZ133" s="1638"/>
      <c r="BA133" s="1638"/>
      <c r="BB133" s="1638"/>
      <c r="BC133" s="1638"/>
      <c r="BD133" s="1638"/>
      <c r="BE133" s="1638"/>
      <c r="BF133" s="1638"/>
      <c r="BG133" s="1638"/>
      <c r="BH133" s="1638"/>
      <c r="BI133" s="1638"/>
      <c r="BJ133" s="1638"/>
      <c r="BK133" s="1638"/>
      <c r="BL133" s="1638"/>
      <c r="BM133" s="1638"/>
      <c r="BN133" s="1638"/>
      <c r="BO133" s="1638"/>
      <c r="BP133" s="1638"/>
      <c r="BQ133" s="1638"/>
      <c r="BR133" s="1638"/>
      <c r="BS133" s="1638"/>
      <c r="BT133" s="1638"/>
      <c r="BU133" s="1638"/>
      <c r="BV133" s="1638"/>
      <c r="BW133" s="1638"/>
      <c r="BX133" s="1638"/>
      <c r="BY133" s="1638"/>
      <c r="BZ133" s="1638"/>
      <c r="CA133" s="1638"/>
      <c r="CB133" s="1638"/>
      <c r="CC133" s="1638"/>
      <c r="CD133" s="1638"/>
      <c r="CE133" s="1638"/>
    </row>
    <row s="1318" customFormat="1" customHeight="1" ht="5.25" hidden="1">
      <c r="A134" s="1795"/>
      <c r="B134" s="1638"/>
      <c r="C134" s="1638"/>
      <c r="D134" s="2581"/>
      <c r="E134" s="637"/>
      <c r="F134" s="637"/>
      <c r="G134" s="637"/>
      <c r="H134" s="637"/>
      <c r="I134" s="637"/>
      <c r="J134" s="637"/>
      <c r="K134" s="637"/>
      <c r="L134" s="637"/>
      <c r="M134" s="637"/>
      <c r="N134" s="637"/>
      <c r="O134" s="637"/>
      <c r="P134" s="637"/>
      <c r="Q134" s="637"/>
      <c r="R134" s="637"/>
      <c r="S134" s="638"/>
      <c r="T134" s="720"/>
      <c r="U134" s="2376"/>
      <c r="V134" s="2376"/>
      <c r="W134" s="1638"/>
      <c r="X134" s="1638"/>
      <c r="Y134" s="1638"/>
      <c r="Z134" s="1638"/>
      <c r="AA134" s="1638"/>
      <c r="AB134" s="1638"/>
      <c r="AC134" s="1039"/>
      <c r="AD134" s="1040"/>
      <c r="AE134" s="1638"/>
      <c r="AF134" s="1638"/>
      <c r="AG134" s="1638"/>
      <c r="AH134" s="1638"/>
      <c r="AI134" s="1638"/>
      <c r="AJ134" s="1638"/>
      <c r="AK134" s="1638"/>
      <c r="AL134" s="1638"/>
      <c r="AM134" s="1638"/>
      <c r="AN134" s="1638"/>
      <c r="AO134" s="1638"/>
      <c r="AP134" s="1638"/>
      <c r="AQ134" s="1638"/>
      <c r="AR134" s="1638"/>
      <c r="AS134" s="1638"/>
      <c r="AT134" s="1638"/>
      <c r="AU134" s="1638"/>
      <c r="AV134" s="1638"/>
      <c r="AW134" s="1638"/>
      <c r="AX134" s="1638"/>
      <c r="AY134" s="1638"/>
      <c r="AZ134" s="1638"/>
      <c r="BA134" s="1638"/>
      <c r="BB134" s="1638"/>
      <c r="BC134" s="1638"/>
      <c r="BD134" s="1638"/>
      <c r="BE134" s="1638"/>
      <c r="BF134" s="1638"/>
      <c r="BG134" s="1638"/>
      <c r="BH134" s="1638"/>
      <c r="BI134" s="1638"/>
      <c r="BJ134" s="1638"/>
      <c r="BK134" s="1638"/>
      <c r="BL134" s="1638"/>
      <c r="BM134" s="1638"/>
      <c r="BN134" s="1638"/>
      <c r="BO134" s="1638"/>
      <c r="BP134" s="1638"/>
      <c r="BQ134" s="1638"/>
      <c r="BR134" s="1638"/>
      <c r="BS134" s="1638"/>
      <c r="BT134" s="1638"/>
      <c r="BU134" s="1638"/>
      <c r="BV134" s="1638"/>
      <c r="BW134" s="1638"/>
      <c r="BX134" s="1638"/>
      <c r="BY134" s="1638"/>
      <c r="BZ134" s="1638"/>
      <c r="CA134" s="1638"/>
      <c r="CB134" s="1638"/>
      <c r="CC134" s="1638"/>
      <c r="CD134" s="1638"/>
      <c r="CE134" s="1638"/>
    </row>
    <row s="1318" customFormat="1" customHeight="1" ht="5.25" hidden="1">
      <c r="A135" s="1795"/>
      <c r="B135" s="1638"/>
      <c r="C135" s="1638"/>
      <c r="D135" s="2582"/>
      <c r="E135" s="1045"/>
      <c r="F135" s="1046"/>
      <c r="G135" s="1046"/>
      <c r="H135" s="1047"/>
      <c r="I135" s="1047"/>
      <c r="J135" s="1047"/>
      <c r="K135" s="1047"/>
      <c r="L135" s="1047"/>
      <c r="M135" s="1047"/>
      <c r="N135" s="1047"/>
      <c r="O135" s="1047"/>
      <c r="P135" s="1047"/>
      <c r="Q135" s="1047"/>
      <c r="R135" s="948"/>
      <c r="S135" s="1048"/>
      <c r="T135" s="720"/>
      <c r="U135" s="2376"/>
      <c r="V135" s="2376"/>
      <c r="W135" s="1638"/>
      <c r="X135" s="1638"/>
      <c r="Y135" s="1638"/>
      <c r="Z135" s="1638"/>
      <c r="AA135" s="1638"/>
      <c r="AB135" s="1638"/>
      <c r="AC135" s="1039"/>
      <c r="AD135" s="1040"/>
      <c r="AE135" s="1638"/>
      <c r="AF135" s="1638"/>
      <c r="AG135" s="1638"/>
      <c r="AH135" s="1638"/>
      <c r="AI135" s="1638"/>
      <c r="AJ135" s="1638"/>
      <c r="AK135" s="1638"/>
      <c r="AL135" s="1638"/>
      <c r="AM135" s="1638"/>
      <c r="AN135" s="1638"/>
      <c r="AO135" s="1638"/>
      <c r="AP135" s="1638"/>
      <c r="AQ135" s="1638"/>
      <c r="AR135" s="1638"/>
      <c r="AS135" s="1638"/>
      <c r="AT135" s="1638"/>
      <c r="AU135" s="1638"/>
      <c r="AV135" s="1638"/>
      <c r="AW135" s="1638"/>
      <c r="AX135" s="1638"/>
      <c r="AY135" s="1638"/>
      <c r="AZ135" s="1638"/>
      <c r="BA135" s="1638"/>
      <c r="BB135" s="1638"/>
      <c r="BC135" s="1638"/>
      <c r="BD135" s="1638"/>
      <c r="BE135" s="1638"/>
      <c r="BF135" s="1638"/>
      <c r="BG135" s="1638"/>
      <c r="BH135" s="1638"/>
      <c r="BI135" s="1638"/>
      <c r="BJ135" s="1638"/>
      <c r="BK135" s="1638"/>
      <c r="BL135" s="1638"/>
      <c r="BM135" s="1638"/>
      <c r="BN135" s="1638"/>
      <c r="BO135" s="1638"/>
      <c r="BP135" s="1638"/>
      <c r="BQ135" s="1638"/>
      <c r="BR135" s="1638"/>
      <c r="BS135" s="1638"/>
      <c r="BT135" s="1638"/>
      <c r="BU135" s="1638"/>
      <c r="BV135" s="1638"/>
      <c r="BW135" s="1638"/>
      <c r="BX135" s="1638"/>
      <c r="BY135" s="1638"/>
      <c r="BZ135" s="1638"/>
      <c r="CA135" s="1638"/>
      <c r="CB135" s="1638"/>
      <c r="CC135" s="1638"/>
      <c r="CD135" s="1638"/>
      <c r="CE135" s="1638"/>
    </row>
    <row customHeight="1" ht="17.25">
      <c r="D136" s="1838"/>
    </row>
    <row s="1817" customFormat="1" customHeight="1" ht="11.25">
      <c r="A137" s="1817" t="s">
        <v>1933</v>
      </c>
    </row>
    <row r="139" s="1852" customFormat="1" customHeight="1" ht="45">
      <c r="A139" s="1808"/>
      <c r="B139" s="1162"/>
      <c r="C139" s="414"/>
      <c r="D139" s="91"/>
      <c r="E139" s="2574"/>
      <c r="F139" s="2110" t="s">
        <v>109</v>
      </c>
      <c r="G139" s="2577" t="s">
        <v>22</v>
      </c>
      <c r="H139" s="291"/>
      <c r="I139" s="639" t="s">
        <v>109</v>
      </c>
      <c r="J139" s="1809" t="s">
        <v>1934</v>
      </c>
      <c r="K139" s="640" t="s">
        <v>546</v>
      </c>
      <c r="L139" s="2226" t="s">
        <v>546</v>
      </c>
      <c r="M139" s="2579"/>
      <c r="N139" s="640" t="s">
        <v>546</v>
      </c>
      <c r="O139" s="640" t="s">
        <v>546</v>
      </c>
      <c r="P139" s="640" t="s">
        <v>546</v>
      </c>
      <c r="Q139" s="641">
        <f>SUM(Q140:Q142)</f>
        <v>0</v>
      </c>
      <c r="R139" s="641">
        <f>IF(R136=0,0,(Q136/R136)*100)</f>
        <v>0</v>
      </c>
      <c r="S139" s="2181"/>
      <c r="T139" s="719" t="s">
        <v>612</v>
      </c>
      <c r="U139" s="91"/>
      <c r="V139" s="91"/>
      <c r="AC139" s="91"/>
    </row>
    <row s="1852" customFormat="1" customHeight="1" ht="11.25">
      <c r="A140" s="1808"/>
      <c r="B140" s="1162"/>
      <c r="C140" s="414"/>
      <c r="D140" s="91"/>
      <c r="E140" s="2575"/>
      <c r="F140" s="2110"/>
      <c r="G140" s="2577"/>
      <c r="H140" s="2129"/>
      <c r="I140" s="2517" t="s">
        <v>1023</v>
      </c>
      <c r="J140" s="2571"/>
      <c r="K140" s="2572"/>
      <c r="L140" s="642"/>
      <c r="M140" s="643" t="s">
        <v>109</v>
      </c>
      <c r="N140" s="1797"/>
      <c r="O140" s="644"/>
      <c r="P140" s="645"/>
      <c r="Q140" s="644"/>
      <c r="R140" s="646">
        <v>0</v>
      </c>
      <c r="S140" s="2181"/>
      <c r="T140" s="719"/>
      <c r="U140" s="91"/>
      <c r="V140" s="91"/>
      <c r="AC140" s="91"/>
    </row>
    <row s="1852" customFormat="1" customHeight="1" ht="11.25">
      <c r="A141" s="1808"/>
      <c r="B141" s="1162"/>
      <c r="C141" s="414"/>
      <c r="D141" s="91"/>
      <c r="E141" s="2575"/>
      <c r="F141" s="2110"/>
      <c r="G141" s="2577"/>
      <c r="H141" s="2129"/>
      <c r="I141" s="2517"/>
      <c r="J141" s="2571"/>
      <c r="K141" s="2573"/>
      <c r="L141" s="647"/>
      <c r="M141" s="648"/>
      <c r="N141" s="649" t="s">
        <v>1935</v>
      </c>
      <c r="O141" s="649"/>
      <c r="P141" s="649"/>
      <c r="Q141" s="649"/>
      <c r="R141" s="650"/>
      <c r="S141" s="2181"/>
      <c r="T141" s="719"/>
      <c r="U141" s="91"/>
      <c r="V141" s="91"/>
      <c r="AC141" s="91"/>
    </row>
    <row s="1852" customFormat="1" customHeight="1" ht="11.25">
      <c r="A142" s="1808"/>
      <c r="B142" s="1162"/>
      <c r="C142" s="414"/>
      <c r="D142" s="91"/>
      <c r="E142" s="2576"/>
      <c r="F142" s="2110"/>
      <c r="G142" s="2578"/>
      <c r="H142" s="647" t="s">
        <v>22</v>
      </c>
      <c r="I142" s="648"/>
      <c r="J142" s="649" t="s">
        <v>1936</v>
      </c>
      <c r="K142" s="649"/>
      <c r="L142" s="649"/>
      <c r="M142" s="649"/>
      <c r="N142" s="649"/>
      <c r="O142" s="649"/>
      <c r="P142" s="649"/>
      <c r="Q142" s="649"/>
      <c r="R142" s="650"/>
      <c r="S142" s="2181"/>
      <c r="T142" s="719"/>
      <c r="U142" s="91"/>
      <c r="V142" s="91"/>
      <c r="AC142" s="91"/>
    </row>
    <row r="147" s="1852" customFormat="1" customHeight="1" ht="11.25">
      <c r="A147" s="1808"/>
      <c r="B147" s="1162"/>
      <c r="C147" s="414"/>
      <c r="D147" s="91"/>
      <c r="E147" s="1832"/>
      <c r="F147" s="1832"/>
      <c r="G147" s="1832"/>
      <c r="H147" s="2129"/>
      <c r="I147" s="2517" t="s">
        <v>1023</v>
      </c>
      <c r="J147" s="2571"/>
      <c r="K147" s="2572"/>
      <c r="L147" s="642"/>
      <c r="M147" s="643" t="s">
        <v>109</v>
      </c>
      <c r="N147" s="1797"/>
      <c r="O147" s="644"/>
      <c r="P147" s="645"/>
      <c r="Q147" s="644"/>
      <c r="R147" s="646">
        <v>0</v>
      </c>
      <c r="S147" s="91"/>
      <c r="T147" s="719"/>
      <c r="U147" s="91"/>
      <c r="V147" s="91"/>
      <c r="AC147" s="91"/>
    </row>
    <row s="1852" customFormat="1" customHeight="1" ht="11.25">
      <c r="A148" s="1808"/>
      <c r="B148" s="1162"/>
      <c r="C148" s="414"/>
      <c r="D148" s="91"/>
      <c r="E148" s="1832"/>
      <c r="F148" s="1832"/>
      <c r="G148" s="1832"/>
      <c r="H148" s="2129"/>
      <c r="I148" s="2517"/>
      <c r="J148" s="2571"/>
      <c r="K148" s="2573"/>
      <c r="L148" s="647"/>
      <c r="M148" s="648"/>
      <c r="N148" s="649" t="s">
        <v>1935</v>
      </c>
      <c r="O148" s="649"/>
      <c r="P148" s="649"/>
      <c r="Q148" s="649"/>
      <c r="R148" s="650"/>
      <c r="S148" s="91"/>
      <c r="T148" s="719"/>
      <c r="U148" s="91"/>
      <c r="V148" s="91"/>
      <c r="AC148" s="91"/>
    </row>
    <row r="150" s="1852" customFormat="1" customHeight="1" ht="11.25">
      <c r="A150" s="1808"/>
      <c r="B150" s="1162"/>
      <c r="C150" s="414"/>
      <c r="D150" s="91"/>
      <c r="E150" s="1839"/>
      <c r="F150" s="1837"/>
      <c r="G150" s="1837"/>
      <c r="H150" s="1840"/>
      <c r="I150" s="1832"/>
      <c r="J150" s="1833"/>
      <c r="K150" s="1833"/>
      <c r="L150" s="642"/>
      <c r="M150" s="643" t="s">
        <v>109</v>
      </c>
      <c r="N150" s="1797"/>
      <c r="O150" s="644"/>
      <c r="P150" s="645"/>
      <c r="Q150" s="644"/>
      <c r="R150" s="646">
        <v>0</v>
      </c>
      <c r="S150" s="91"/>
      <c r="T150" s="719"/>
      <c r="U150" s="91"/>
      <c r="V150" s="91"/>
      <c r="AC150" s="91"/>
    </row>
    <row r="152" s="1817" customFormat="1" customHeight="1" ht="17.25">
      <c r="A152" s="1817" t="s">
        <v>1937</v>
      </c>
    </row>
    <row customHeight="1" ht="17.25">
      <c r="G153" s="1841"/>
      <c r="H153" s="1841"/>
      <c r="I153" s="1841"/>
      <c r="M153" s="1837"/>
    </row>
    <row s="1855" customFormat="1" customHeight="1" ht="17.25">
      <c r="A154" s="1842"/>
      <c r="C154" s="1844"/>
      <c r="D154" s="2531"/>
      <c r="E154" s="2145"/>
      <c r="F154" s="2147"/>
      <c r="G154" s="2533"/>
      <c r="H154" s="2531"/>
      <c r="I154" s="2531">
        <v>1</v>
      </c>
      <c r="J154" s="2503"/>
      <c r="K154" s="2187" t="s">
        <v>66</v>
      </c>
      <c r="L154" s="2110"/>
      <c r="M154" s="2110" t="s">
        <v>109</v>
      </c>
      <c r="N154" s="2506" t="str">
        <f>IF(Z154="","",INDEX(TERRITORY_MR_LIST,MATCH(Z154,TERRITORY_LIST_ID,0)))</f>
        <v/>
      </c>
      <c r="O154" s="2187" t="s">
        <v>66</v>
      </c>
      <c r="P154" s="2110"/>
      <c r="Q154" s="2110" t="s">
        <v>109</v>
      </c>
      <c r="R154" s="2504" t="s">
        <v>22</v>
      </c>
      <c r="S154" s="2109" t="s">
        <v>66</v>
      </c>
      <c r="T154" s="1813"/>
      <c r="U154" s="1813" t="s">
        <v>109</v>
      </c>
      <c r="V154" s="1845" t="s">
        <v>22</v>
      </c>
      <c r="W154" s="1803"/>
      <c r="Y154" s="1269"/>
      <c r="Z154" s="1269"/>
      <c r="AA154" s="1269"/>
      <c r="AB154" s="1269"/>
      <c r="AC154" s="1269"/>
      <c r="AD154" s="1269"/>
      <c r="AE154" s="1269"/>
      <c r="AF154" s="1269"/>
      <c r="AG154" s="1269"/>
      <c r="AH154" s="1269"/>
      <c r="AI154" s="1269"/>
      <c r="AJ154" s="1269"/>
      <c r="AK154" s="1269"/>
      <c r="AL154" s="1846"/>
      <c r="AM154" s="1846"/>
      <c r="AN154" s="1269"/>
      <c r="AO154" s="1269"/>
      <c r="AP154" s="1269"/>
      <c r="AQ154" s="1269"/>
    </row>
    <row s="1855" customFormat="1" customHeight="1" ht="17.25">
      <c r="A155" s="1842"/>
      <c r="C155" s="1847"/>
      <c r="D155" s="2531"/>
      <c r="E155" s="2145"/>
      <c r="F155" s="2148"/>
      <c r="G155" s="2533"/>
      <c r="H155" s="2531"/>
      <c r="I155" s="2531"/>
      <c r="J155" s="2503"/>
      <c r="K155" s="2188"/>
      <c r="L155" s="2110"/>
      <c r="M155" s="2110"/>
      <c r="N155" s="2506"/>
      <c r="O155" s="2188"/>
      <c r="P155" s="2110"/>
      <c r="Q155" s="2110"/>
      <c r="R155" s="2504"/>
      <c r="S155" s="2109"/>
      <c r="T155" s="319"/>
      <c r="U155" s="320"/>
      <c r="V155" s="320" t="s">
        <v>414</v>
      </c>
      <c r="W155" s="321"/>
      <c r="Y155" s="1261"/>
      <c r="Z155" s="1261"/>
      <c r="AA155" s="1261"/>
      <c r="AB155" s="1261"/>
      <c r="AC155" s="1261"/>
      <c r="AD155" s="1261"/>
      <c r="AE155" s="1261"/>
      <c r="AF155" s="1261"/>
      <c r="AG155" s="1261"/>
      <c r="AH155" s="1261"/>
      <c r="AI155" s="1261"/>
      <c r="AJ155" s="1261"/>
      <c r="AK155" s="1261"/>
    </row>
    <row s="1855" customFormat="1" customHeight="1" ht="17.25">
      <c r="A156" s="1842"/>
      <c r="C156" s="1847"/>
      <c r="D156" s="2505"/>
      <c r="E156" s="2532"/>
      <c r="F156" s="2148"/>
      <c r="G156" s="2534"/>
      <c r="H156" s="2505"/>
      <c r="I156" s="2505"/>
      <c r="J156" s="2535"/>
      <c r="K156" s="2188"/>
      <c r="L156" s="2505"/>
      <c r="M156" s="2505"/>
      <c r="N156" s="2507"/>
      <c r="O156" s="2114"/>
      <c r="P156" s="319"/>
      <c r="Q156" s="320"/>
      <c r="R156" s="320" t="s">
        <v>415</v>
      </c>
      <c r="S156" s="1848"/>
      <c r="T156" s="1848"/>
      <c r="U156" s="1848"/>
      <c r="V156" s="1848"/>
      <c r="W156" s="321"/>
      <c r="Y156" s="1261"/>
      <c r="Z156" s="1261"/>
      <c r="AA156" s="1261"/>
      <c r="AB156" s="1261"/>
      <c r="AC156" s="1261"/>
      <c r="AD156" s="1261"/>
      <c r="AE156" s="1261"/>
      <c r="AF156" s="1261"/>
      <c r="AG156" s="1261"/>
      <c r="AH156" s="1261"/>
      <c r="AI156" s="1261"/>
      <c r="AJ156" s="1261"/>
      <c r="AK156" s="1261"/>
    </row>
    <row s="1855" customFormat="1" customHeight="1" ht="17.25">
      <c r="A157" s="1842"/>
      <c r="C157" s="1847"/>
      <c r="D157" s="2505"/>
      <c r="E157" s="2532"/>
      <c r="F157" s="2148"/>
      <c r="G157" s="2534"/>
      <c r="H157" s="2505"/>
      <c r="I157" s="2505"/>
      <c r="J157" s="2535"/>
      <c r="K157" s="2114"/>
      <c r="L157" s="319"/>
      <c r="M157" s="320"/>
      <c r="N157" s="320" t="s">
        <v>416</v>
      </c>
      <c r="O157" s="320"/>
      <c r="P157" s="320"/>
      <c r="Q157" s="320"/>
      <c r="R157" s="320"/>
      <c r="S157" s="1848"/>
      <c r="T157" s="1848"/>
      <c r="U157" s="1848"/>
      <c r="V157" s="1848"/>
      <c r="W157" s="321"/>
      <c r="Y157" s="1261"/>
      <c r="Z157" s="1261"/>
      <c r="AA157" s="1261"/>
      <c r="AB157" s="1261"/>
      <c r="AC157" s="1261"/>
      <c r="AD157" s="1261"/>
      <c r="AE157" s="1261"/>
      <c r="AF157" s="1261"/>
      <c r="AG157" s="1261"/>
      <c r="AH157" s="1261"/>
      <c r="AI157" s="1261"/>
      <c r="AJ157" s="1261"/>
      <c r="AK157" s="1261"/>
    </row>
    <row s="1855" customFormat="1" customHeight="1" ht="17.25">
      <c r="A158" s="1842"/>
      <c r="C158" s="1847"/>
      <c r="D158" s="2505"/>
      <c r="E158" s="2532"/>
      <c r="F158" s="2149"/>
      <c r="G158" s="2534"/>
      <c r="H158" s="319"/>
      <c r="I158" s="320"/>
      <c r="J158" s="320" t="s">
        <v>448</v>
      </c>
      <c r="K158" s="320"/>
      <c r="L158" s="320"/>
      <c r="M158" s="320"/>
      <c r="N158" s="320"/>
      <c r="O158" s="320"/>
      <c r="P158" s="320"/>
      <c r="Q158" s="320"/>
      <c r="R158" s="320"/>
      <c r="S158" s="1848"/>
      <c r="T158" s="1848"/>
      <c r="U158" s="1848"/>
      <c r="V158" s="1848"/>
      <c r="W158" s="321"/>
      <c r="Y158" s="1261"/>
      <c r="Z158" s="1261"/>
      <c r="AA158" s="1261"/>
      <c r="AB158" s="1261"/>
      <c r="AC158" s="1261"/>
      <c r="AD158" s="1261"/>
      <c r="AE158" s="1261"/>
      <c r="AF158" s="1261"/>
      <c r="AG158" s="1261"/>
      <c r="AH158" s="1261"/>
      <c r="AI158" s="1261"/>
      <c r="AJ158" s="1261"/>
      <c r="AK158" s="1261"/>
    </row>
    <row customHeight="1" ht="17.25">
      <c r="G159" s="1841"/>
      <c r="H159" s="1841"/>
      <c r="I159" s="1841"/>
      <c r="M159" s="1837"/>
    </row>
    <row s="1855" customFormat="1" customHeight="1" ht="17.25">
      <c r="A160" s="1842"/>
      <c r="C160" s="1844"/>
      <c r="D160" s="1832"/>
      <c r="E160" s="1849"/>
      <c r="F160" s="1786"/>
      <c r="G160" s="1850"/>
      <c r="H160" s="2531"/>
      <c r="I160" s="2531">
        <v>1</v>
      </c>
      <c r="J160" s="2503"/>
      <c r="K160" s="2187" t="s">
        <v>66</v>
      </c>
      <c r="L160" s="2110"/>
      <c r="M160" s="2110" t="s">
        <v>109</v>
      </c>
      <c r="N160" s="2506" t="str">
        <f>IF(Z160="","",INDEX(TERRITORY_MR_LIST,MATCH(Z160,TERRITORY_LIST_ID,0)))</f>
        <v/>
      </c>
      <c r="O160" s="2187" t="s">
        <v>66</v>
      </c>
      <c r="P160" s="2110"/>
      <c r="Q160" s="2110" t="s">
        <v>109</v>
      </c>
      <c r="R160" s="2504" t="s">
        <v>22</v>
      </c>
      <c r="S160" s="2109" t="s">
        <v>66</v>
      </c>
      <c r="T160" s="1813"/>
      <c r="U160" s="1813" t="s">
        <v>109</v>
      </c>
      <c r="V160" s="1845" t="s">
        <v>22</v>
      </c>
      <c r="W160" s="1803"/>
      <c r="Y160" s="1269"/>
      <c r="Z160" s="1269"/>
      <c r="AA160" s="1269"/>
      <c r="AB160" s="1269"/>
      <c r="AC160" s="1269"/>
      <c r="AD160" s="1269"/>
      <c r="AE160" s="1269"/>
      <c r="AF160" s="1269"/>
      <c r="AG160" s="1269"/>
      <c r="AH160" s="1269"/>
      <c r="AI160" s="1269"/>
      <c r="AJ160" s="1269"/>
      <c r="AK160" s="1269"/>
      <c r="AL160" s="1846"/>
      <c r="AM160" s="1846"/>
      <c r="AN160" s="1269"/>
      <c r="AO160" s="1269"/>
      <c r="AP160" s="1269"/>
      <c r="AQ160" s="1269"/>
    </row>
    <row s="1855" customFormat="1" customHeight="1" ht="17.25">
      <c r="A161" s="1842"/>
      <c r="C161" s="1847"/>
      <c r="D161" s="1832"/>
      <c r="E161" s="1849"/>
      <c r="F161" s="1786"/>
      <c r="G161" s="1850"/>
      <c r="H161" s="2531"/>
      <c r="I161" s="2531"/>
      <c r="J161" s="2503"/>
      <c r="K161" s="2188"/>
      <c r="L161" s="2110"/>
      <c r="M161" s="2110"/>
      <c r="N161" s="2506"/>
      <c r="O161" s="2188"/>
      <c r="P161" s="2110"/>
      <c r="Q161" s="2110"/>
      <c r="R161" s="2504"/>
      <c r="S161" s="2109"/>
      <c r="T161" s="319"/>
      <c r="U161" s="320"/>
      <c r="V161" s="320" t="s">
        <v>414</v>
      </c>
      <c r="W161" s="321"/>
      <c r="Y161" s="1261"/>
      <c r="Z161" s="1261"/>
      <c r="AA161" s="1261"/>
      <c r="AB161" s="1261"/>
      <c r="AC161" s="1261"/>
      <c r="AD161" s="1261"/>
      <c r="AE161" s="1261"/>
      <c r="AF161" s="1261"/>
      <c r="AG161" s="1261"/>
      <c r="AH161" s="1261"/>
      <c r="AI161" s="1261"/>
      <c r="AJ161" s="1261"/>
      <c r="AK161" s="1261"/>
    </row>
    <row s="1855" customFormat="1" customHeight="1" ht="17.25">
      <c r="A162" s="1842"/>
      <c r="C162" s="1847"/>
      <c r="D162" s="1832"/>
      <c r="E162" s="1849"/>
      <c r="F162" s="1786"/>
      <c r="G162" s="1850"/>
      <c r="H162" s="2505"/>
      <c r="I162" s="2505"/>
      <c r="J162" s="2535"/>
      <c r="K162" s="2188"/>
      <c r="L162" s="2505"/>
      <c r="M162" s="2505"/>
      <c r="N162" s="2507"/>
      <c r="O162" s="2114"/>
      <c r="P162" s="319"/>
      <c r="Q162" s="320"/>
      <c r="R162" s="320" t="s">
        <v>415</v>
      </c>
      <c r="S162" s="1848"/>
      <c r="T162" s="1848"/>
      <c r="U162" s="1848"/>
      <c r="V162" s="1848"/>
      <c r="W162" s="321"/>
      <c r="Y162" s="1261"/>
      <c r="Z162" s="1261"/>
      <c r="AA162" s="1261"/>
      <c r="AB162" s="1261"/>
      <c r="AC162" s="1261"/>
      <c r="AD162" s="1261"/>
      <c r="AE162" s="1261"/>
      <c r="AF162" s="1261"/>
      <c r="AG162" s="1261"/>
      <c r="AH162" s="1261"/>
      <c r="AI162" s="1261"/>
      <c r="AJ162" s="1261"/>
      <c r="AK162" s="1261"/>
    </row>
    <row s="1855" customFormat="1" customHeight="1" ht="17.25">
      <c r="A163" s="1842"/>
      <c r="C163" s="1847"/>
      <c r="D163" s="1832"/>
      <c r="E163" s="1849"/>
      <c r="F163" s="1786"/>
      <c r="G163" s="1850"/>
      <c r="H163" s="2505"/>
      <c r="I163" s="2505"/>
      <c r="J163" s="2535"/>
      <c r="K163" s="2114"/>
      <c r="L163" s="319"/>
      <c r="M163" s="320"/>
      <c r="N163" s="320" t="s">
        <v>416</v>
      </c>
      <c r="O163" s="320"/>
      <c r="P163" s="320"/>
      <c r="Q163" s="320"/>
      <c r="R163" s="320"/>
      <c r="S163" s="1848"/>
      <c r="T163" s="1848"/>
      <c r="U163" s="1848"/>
      <c r="V163" s="1848"/>
      <c r="W163" s="321"/>
      <c r="Y163" s="1261"/>
      <c r="Z163" s="1261"/>
      <c r="AA163" s="1261"/>
      <c r="AB163" s="1261"/>
      <c r="AC163" s="1261"/>
      <c r="AD163" s="1261"/>
      <c r="AE163" s="1261"/>
      <c r="AF163" s="1261"/>
      <c r="AG163" s="1261"/>
      <c r="AH163" s="1261"/>
      <c r="AI163" s="1261"/>
      <c r="AJ163" s="1261"/>
      <c r="AK163" s="1261"/>
    </row>
    <row customHeight="1" ht="17.25">
      <c r="G164" s="1841"/>
      <c r="H164" s="1841"/>
      <c r="I164" s="1841"/>
      <c r="M164" s="1837"/>
    </row>
    <row s="1855" customFormat="1" customHeight="1" ht="17.25">
      <c r="A165" s="1842"/>
      <c r="C165" s="1844"/>
      <c r="D165" s="1832"/>
      <c r="E165" s="1849"/>
      <c r="F165" s="1786"/>
      <c r="G165" s="1850"/>
      <c r="H165" s="1832"/>
      <c r="I165" s="1832"/>
      <c r="J165" s="1851"/>
      <c r="K165" s="1762"/>
      <c r="L165" s="2110"/>
      <c r="M165" s="2110" t="s">
        <v>109</v>
      </c>
      <c r="N165" s="2506" t="str">
        <f>IF(Z165="","",INDEX(TERRITORY_MR_LIST,MATCH(Z165,TERRITORY_LIST_ID,0)))</f>
        <v/>
      </c>
      <c r="O165" s="2187" t="s">
        <v>66</v>
      </c>
      <c r="P165" s="2110"/>
      <c r="Q165" s="2110" t="s">
        <v>109</v>
      </c>
      <c r="R165" s="2504" t="s">
        <v>22</v>
      </c>
      <c r="S165" s="2109" t="s">
        <v>66</v>
      </c>
      <c r="T165" s="1813"/>
      <c r="U165" s="1813" t="s">
        <v>109</v>
      </c>
      <c r="V165" s="1845" t="s">
        <v>22</v>
      </c>
      <c r="W165" s="1803"/>
      <c r="Y165" s="1269"/>
      <c r="Z165" s="1269"/>
      <c r="AA165" s="1269"/>
      <c r="AB165" s="1269"/>
      <c r="AC165" s="1269"/>
      <c r="AD165" s="1269"/>
      <c r="AE165" s="1269"/>
      <c r="AF165" s="1269"/>
      <c r="AG165" s="1269"/>
      <c r="AH165" s="1269"/>
      <c r="AI165" s="1269"/>
      <c r="AJ165" s="1269"/>
      <c r="AK165" s="1269"/>
      <c r="AL165" s="1846"/>
      <c r="AM165" s="1846"/>
      <c r="AN165" s="1269"/>
      <c r="AO165" s="1269"/>
      <c r="AP165" s="1269"/>
      <c r="AQ165" s="1269"/>
    </row>
    <row s="1855" customFormat="1" customHeight="1" ht="17.25">
      <c r="A166" s="1842"/>
      <c r="C166" s="1847"/>
      <c r="D166" s="1832"/>
      <c r="E166" s="1849"/>
      <c r="F166" s="1786"/>
      <c r="G166" s="1850"/>
      <c r="H166" s="1832"/>
      <c r="I166" s="1832"/>
      <c r="J166" s="1851"/>
      <c r="K166" s="1762"/>
      <c r="L166" s="2110"/>
      <c r="M166" s="2110"/>
      <c r="N166" s="2506"/>
      <c r="O166" s="2188"/>
      <c r="P166" s="2110"/>
      <c r="Q166" s="2110"/>
      <c r="R166" s="2504"/>
      <c r="S166" s="2109"/>
      <c r="T166" s="319"/>
      <c r="U166" s="320"/>
      <c r="V166" s="320" t="s">
        <v>414</v>
      </c>
      <c r="W166" s="321"/>
      <c r="Y166" s="1261"/>
      <c r="Z166" s="1261"/>
      <c r="AA166" s="1261"/>
      <c r="AB166" s="1261"/>
      <c r="AC166" s="1261"/>
      <c r="AD166" s="1261"/>
      <c r="AE166" s="1261"/>
      <c r="AF166" s="1261"/>
      <c r="AG166" s="1261"/>
      <c r="AH166" s="1261"/>
      <c r="AI166" s="1261"/>
      <c r="AJ166" s="1261"/>
      <c r="AK166" s="1261"/>
    </row>
    <row s="1855" customFormat="1" customHeight="1" ht="17.25">
      <c r="A167" s="1842"/>
      <c r="C167" s="1847"/>
      <c r="D167" s="1832"/>
      <c r="E167" s="1849"/>
      <c r="F167" s="1786"/>
      <c r="G167" s="1850"/>
      <c r="H167" s="1832"/>
      <c r="I167" s="1832"/>
      <c r="J167" s="1851"/>
      <c r="K167" s="1762"/>
      <c r="L167" s="2505"/>
      <c r="M167" s="2505"/>
      <c r="N167" s="2507"/>
      <c r="O167" s="2114"/>
      <c r="P167" s="319"/>
      <c r="Q167" s="320"/>
      <c r="R167" s="320" t="s">
        <v>415</v>
      </c>
      <c r="S167" s="1848"/>
      <c r="T167" s="1848"/>
      <c r="U167" s="1848"/>
      <c r="V167" s="1848"/>
      <c r="W167" s="321"/>
      <c r="Y167" s="1261"/>
      <c r="Z167" s="1261"/>
      <c r="AA167" s="1261"/>
      <c r="AB167" s="1261"/>
      <c r="AC167" s="1261"/>
      <c r="AD167" s="1261"/>
      <c r="AE167" s="1261"/>
      <c r="AF167" s="1261"/>
      <c r="AG167" s="1261"/>
      <c r="AH167" s="1261"/>
      <c r="AI167" s="1261"/>
      <c r="AJ167" s="1261"/>
      <c r="AK167" s="1261"/>
    </row>
    <row customHeight="1" ht="17.25">
      <c r="G168" s="1841"/>
      <c r="H168" s="1841"/>
      <c r="I168" s="1841"/>
      <c r="M168" s="1837"/>
    </row>
    <row s="1855" customFormat="1" customHeight="1" ht="17.25">
      <c r="A169" s="1842"/>
      <c r="C169" s="1844"/>
      <c r="D169" s="1832"/>
      <c r="E169" s="1849"/>
      <c r="F169" s="1786"/>
      <c r="G169" s="1850"/>
      <c r="H169" s="1832"/>
      <c r="I169" s="1832"/>
      <c r="J169" s="1851"/>
      <c r="K169" s="1762"/>
      <c r="L169" s="1758"/>
      <c r="M169" s="1758"/>
      <c r="N169" s="2050"/>
      <c r="O169" s="1789"/>
      <c r="P169" s="2110"/>
      <c r="Q169" s="2110" t="s">
        <v>109</v>
      </c>
      <c r="R169" s="2504" t="s">
        <v>22</v>
      </c>
      <c r="S169" s="2109" t="s">
        <v>66</v>
      </c>
      <c r="T169" s="1813"/>
      <c r="U169" s="1813" t="s">
        <v>109</v>
      </c>
      <c r="V169" s="1845" t="s">
        <v>22</v>
      </c>
      <c r="W169" s="1803"/>
      <c r="Y169" s="1269"/>
      <c r="Z169" s="1269"/>
      <c r="AA169" s="1269"/>
      <c r="AB169" s="1269"/>
      <c r="AC169" s="1269"/>
      <c r="AD169" s="1269"/>
      <c r="AE169" s="1269"/>
      <c r="AF169" s="1269"/>
      <c r="AG169" s="1269"/>
      <c r="AH169" s="1269"/>
      <c r="AI169" s="1269"/>
      <c r="AJ169" s="1269"/>
      <c r="AK169" s="1269"/>
      <c r="AL169" s="1846"/>
      <c r="AM169" s="1846"/>
      <c r="AN169" s="1269"/>
      <c r="AO169" s="1269"/>
      <c r="AP169" s="1269"/>
      <c r="AQ169" s="1269"/>
    </row>
    <row s="1855" customFormat="1" customHeight="1" ht="17.25">
      <c r="A170" s="1842"/>
      <c r="C170" s="1847"/>
      <c r="D170" s="1832"/>
      <c r="E170" s="1849"/>
      <c r="F170" s="1786"/>
      <c r="G170" s="1850"/>
      <c r="H170" s="1832"/>
      <c r="I170" s="1832"/>
      <c r="J170" s="1851"/>
      <c r="K170" s="1762"/>
      <c r="L170" s="1758"/>
      <c r="M170" s="1758"/>
      <c r="N170" s="2050"/>
      <c r="O170" s="1789"/>
      <c r="P170" s="2110"/>
      <c r="Q170" s="2110"/>
      <c r="R170" s="2504"/>
      <c r="S170" s="2109"/>
      <c r="T170" s="319"/>
      <c r="U170" s="320"/>
      <c r="V170" s="320" t="s">
        <v>414</v>
      </c>
      <c r="W170" s="321"/>
      <c r="Y170" s="1261"/>
      <c r="Z170" s="1261"/>
      <c r="AA170" s="1261"/>
      <c r="AB170" s="1261"/>
      <c r="AC170" s="1261"/>
      <c r="AD170" s="1261"/>
      <c r="AE170" s="1261"/>
      <c r="AF170" s="1261"/>
      <c r="AG170" s="1261"/>
      <c r="AH170" s="1261"/>
      <c r="AI170" s="1261"/>
      <c r="AJ170" s="1261"/>
      <c r="AK170" s="1261"/>
    </row>
    <row customHeight="1" ht="17.25">
      <c r="G171" s="1841"/>
      <c r="H171" s="1841"/>
      <c r="I171" s="1841"/>
      <c r="M171" s="1837"/>
    </row>
    <row s="1855" customFormat="1" customHeight="1" ht="17.25">
      <c r="A172" s="1842"/>
      <c r="C172" s="1844"/>
      <c r="D172" s="1832"/>
      <c r="E172" s="1849"/>
      <c r="F172" s="1786"/>
      <c r="G172" s="1850"/>
      <c r="H172" s="1758"/>
      <c r="I172" s="1758"/>
      <c r="J172" s="1759"/>
      <c r="K172" s="1850"/>
      <c r="L172" s="1758"/>
      <c r="M172" s="1758"/>
      <c r="N172" s="1850"/>
      <c r="O172" s="1850"/>
      <c r="P172" s="1758"/>
      <c r="Q172" s="1758"/>
      <c r="R172" s="1760"/>
      <c r="S172" s="1850"/>
      <c r="T172" s="1813"/>
      <c r="U172" s="1813" t="s">
        <v>109</v>
      </c>
      <c r="V172" s="1845" t="s">
        <v>22</v>
      </c>
      <c r="W172" s="1803"/>
      <c r="Y172" s="1269"/>
      <c r="Z172" s="1269"/>
      <c r="AA172" s="1269"/>
      <c r="AB172" s="1269"/>
      <c r="AC172" s="1269"/>
      <c r="AD172" s="1269"/>
      <c r="AE172" s="1269"/>
      <c r="AF172" s="1269"/>
      <c r="AG172" s="1269"/>
      <c r="AH172" s="1269"/>
      <c r="AI172" s="1269"/>
      <c r="AJ172" s="1269"/>
      <c r="AK172" s="1269"/>
      <c r="AL172" s="1846"/>
      <c r="AM172" s="1846"/>
      <c r="AN172" s="1269"/>
      <c r="AO172" s="1269"/>
      <c r="AP172" s="1269"/>
      <c r="AQ172" s="1269"/>
    </row>
    <row r="174" s="1817" customFormat="1" customHeight="1" ht="17.25">
      <c r="A174" s="1817" t="s">
        <v>1938</v>
      </c>
    </row>
    <row customHeight="1" ht="17.25">
      <c r="G175" s="1841"/>
      <c r="H175" s="1841"/>
      <c r="I175" s="1841"/>
      <c r="M175" s="1837"/>
    </row>
    <row s="1855" customFormat="1" customHeight="1" ht="17.25">
      <c r="A176" s="1842"/>
      <c r="C176" s="1844"/>
      <c r="D176" s="2531"/>
      <c r="E176" s="2145"/>
      <c r="F176" s="2147"/>
      <c r="G176" s="2533"/>
      <c r="H176" s="2531"/>
      <c r="I176" s="2531">
        <v>1</v>
      </c>
      <c r="J176" s="2503"/>
      <c r="K176" s="2187" t="s">
        <v>66</v>
      </c>
      <c r="L176" s="2110"/>
      <c r="M176" s="2110" t="s">
        <v>109</v>
      </c>
      <c r="N176" s="2506" t="str">
        <f>IF(Z176="","",INDEX(TERRITORY_MR_LIST,MATCH(Z176,TERRITORY_LIST_ID,0)))</f>
        <v/>
      </c>
      <c r="O176" s="2187" t="s">
        <v>66</v>
      </c>
      <c r="P176" s="2110"/>
      <c r="Q176" s="2110" t="s">
        <v>109</v>
      </c>
      <c r="R176" s="2504" t="s">
        <v>22</v>
      </c>
      <c r="S176" s="2408" t="s">
        <v>19</v>
      </c>
      <c r="T176" s="1804"/>
      <c r="U176" s="1804" t="s">
        <v>109</v>
      </c>
      <c r="V176" s="1436"/>
      <c r="W176" s="2503"/>
      <c r="Y176" s="1269"/>
      <c r="Z176" s="1269"/>
      <c r="AA176" s="1269"/>
      <c r="AB176" s="1269"/>
      <c r="AC176" s="1269"/>
      <c r="AD176" s="1269"/>
      <c r="AE176" s="1269"/>
      <c r="AF176" s="1269"/>
      <c r="AG176" s="1269"/>
      <c r="AH176" s="1269"/>
      <c r="AI176" s="1269"/>
      <c r="AJ176" s="1269"/>
      <c r="AK176" s="1269"/>
      <c r="AL176" s="1846"/>
      <c r="AM176" s="1846"/>
      <c r="AN176" s="1269"/>
      <c r="AO176" s="1269"/>
      <c r="AP176" s="1269"/>
      <c r="AQ176" s="1269"/>
    </row>
    <row s="1855" customFormat="1" customHeight="1" ht="17.25">
      <c r="A177" s="1842"/>
      <c r="C177" s="1847"/>
      <c r="D177" s="2531"/>
      <c r="E177" s="2145"/>
      <c r="F177" s="2148"/>
      <c r="G177" s="2533"/>
      <c r="H177" s="2531"/>
      <c r="I177" s="2531"/>
      <c r="J177" s="2503"/>
      <c r="K177" s="2188"/>
      <c r="L177" s="2110"/>
      <c r="M177" s="2110"/>
      <c r="N177" s="2506"/>
      <c r="O177" s="2188"/>
      <c r="P177" s="2110"/>
      <c r="Q177" s="2110"/>
      <c r="R177" s="2504"/>
      <c r="S177" s="2408"/>
      <c r="T177" s="1437"/>
      <c r="U177" s="1438"/>
      <c r="V177" s="1438"/>
      <c r="W177" s="2503"/>
      <c r="Y177" s="1261"/>
      <c r="Z177" s="1261"/>
      <c r="AA177" s="1261"/>
      <c r="AB177" s="1261"/>
      <c r="AC177" s="1261"/>
      <c r="AD177" s="1261"/>
      <c r="AE177" s="1261"/>
      <c r="AF177" s="1261"/>
      <c r="AG177" s="1261"/>
      <c r="AH177" s="1261"/>
      <c r="AI177" s="1261"/>
      <c r="AJ177" s="1261"/>
      <c r="AK177" s="1261"/>
    </row>
    <row s="1855" customFormat="1" customHeight="1" ht="17.25">
      <c r="A178" s="1842"/>
      <c r="C178" s="1847"/>
      <c r="D178" s="2505"/>
      <c r="E178" s="2532"/>
      <c r="F178" s="2148"/>
      <c r="G178" s="2534"/>
      <c r="H178" s="2505"/>
      <c r="I178" s="2505"/>
      <c r="J178" s="2535"/>
      <c r="K178" s="2188"/>
      <c r="L178" s="2505"/>
      <c r="M178" s="2505"/>
      <c r="N178" s="2507"/>
      <c r="O178" s="2114"/>
      <c r="P178" s="319"/>
      <c r="Q178" s="320"/>
      <c r="R178" s="320" t="s">
        <v>415</v>
      </c>
      <c r="S178" s="1848"/>
      <c r="T178" s="1848"/>
      <c r="U178" s="1848"/>
      <c r="V178" s="1848"/>
      <c r="W178" s="1435"/>
      <c r="Y178" s="1261"/>
      <c r="Z178" s="1261"/>
      <c r="AA178" s="1261"/>
      <c r="AB178" s="1261"/>
      <c r="AC178" s="1261"/>
      <c r="AD178" s="1261"/>
      <c r="AE178" s="1261"/>
      <c r="AF178" s="1261"/>
      <c r="AG178" s="1261"/>
      <c r="AH178" s="1261"/>
      <c r="AI178" s="1261"/>
      <c r="AJ178" s="1261"/>
      <c r="AK178" s="1261"/>
    </row>
    <row s="1855" customFormat="1" customHeight="1" ht="17.25">
      <c r="A179" s="1842"/>
      <c r="C179" s="1847"/>
      <c r="D179" s="2505"/>
      <c r="E179" s="2532"/>
      <c r="F179" s="2148"/>
      <c r="G179" s="2534"/>
      <c r="H179" s="2505"/>
      <c r="I179" s="2505"/>
      <c r="J179" s="2535"/>
      <c r="K179" s="2114"/>
      <c r="L179" s="319"/>
      <c r="M179" s="320"/>
      <c r="N179" s="320" t="s">
        <v>416</v>
      </c>
      <c r="O179" s="320"/>
      <c r="P179" s="320"/>
      <c r="Q179" s="320"/>
      <c r="R179" s="320"/>
      <c r="S179" s="1848"/>
      <c r="T179" s="1848"/>
      <c r="U179" s="1848"/>
      <c r="V179" s="1848"/>
      <c r="W179" s="321"/>
      <c r="Y179" s="1261"/>
      <c r="Z179" s="1261"/>
      <c r="AA179" s="1261"/>
      <c r="AB179" s="1261"/>
      <c r="AC179" s="1261"/>
      <c r="AD179" s="1261"/>
      <c r="AE179" s="1261"/>
      <c r="AF179" s="1261"/>
      <c r="AG179" s="1261"/>
      <c r="AH179" s="1261"/>
      <c r="AI179" s="1261"/>
      <c r="AJ179" s="1261"/>
      <c r="AK179" s="1261"/>
    </row>
    <row s="1855" customFormat="1" customHeight="1" ht="17.25">
      <c r="A180" s="1842"/>
      <c r="C180" s="1847"/>
      <c r="D180" s="2505"/>
      <c r="E180" s="2532"/>
      <c r="F180" s="2149"/>
      <c r="G180" s="2534"/>
      <c r="H180" s="319"/>
      <c r="I180" s="320"/>
      <c r="J180" s="320" t="s">
        <v>448</v>
      </c>
      <c r="K180" s="320"/>
      <c r="L180" s="320"/>
      <c r="M180" s="320"/>
      <c r="N180" s="320"/>
      <c r="O180" s="320"/>
      <c r="P180" s="320"/>
      <c r="Q180" s="320"/>
      <c r="R180" s="320"/>
      <c r="S180" s="1848"/>
      <c r="T180" s="1848"/>
      <c r="U180" s="1848"/>
      <c r="V180" s="1848"/>
      <c r="W180" s="321"/>
      <c r="Y180" s="1261"/>
      <c r="Z180" s="1261"/>
      <c r="AA180" s="1261"/>
      <c r="AB180" s="1261"/>
      <c r="AC180" s="1261"/>
      <c r="AD180" s="1261"/>
      <c r="AE180" s="1261"/>
      <c r="AF180" s="1261"/>
      <c r="AG180" s="1261"/>
      <c r="AH180" s="1261"/>
      <c r="AI180" s="1261"/>
      <c r="AJ180" s="1261"/>
      <c r="AK180" s="1261"/>
    </row>
    <row customHeight="1" ht="17.25">
      <c r="A181" s="1852"/>
    </row>
    <row s="1855" customFormat="1" customHeight="1" ht="17.25">
      <c r="A182" s="1842"/>
      <c r="C182" s="1844"/>
      <c r="D182" s="1832"/>
      <c r="E182" s="1849"/>
      <c r="F182" s="1786"/>
      <c r="G182" s="1850"/>
      <c r="H182" s="2531"/>
      <c r="I182" s="2531">
        <v>1</v>
      </c>
      <c r="J182" s="2503"/>
      <c r="K182" s="2187" t="s">
        <v>66</v>
      </c>
      <c r="L182" s="2110"/>
      <c r="M182" s="2110" t="s">
        <v>109</v>
      </c>
      <c r="N182" s="2506" t="str">
        <f>IF(Z182="","",INDEX(TERRITORY_MR_LIST,MATCH(Z182,TERRITORY_LIST_ID,0)))</f>
        <v/>
      </c>
      <c r="O182" s="2187" t="s">
        <v>66</v>
      </c>
      <c r="P182" s="2110"/>
      <c r="Q182" s="2110" t="s">
        <v>109</v>
      </c>
      <c r="R182" s="2504" t="s">
        <v>22</v>
      </c>
      <c r="S182" s="2408" t="s">
        <v>19</v>
      </c>
      <c r="T182" s="1804"/>
      <c r="U182" s="1804" t="s">
        <v>109</v>
      </c>
      <c r="V182" s="1436"/>
      <c r="W182" s="2503"/>
      <c r="Y182" s="1269"/>
      <c r="Z182" s="1269"/>
      <c r="AA182" s="1269"/>
      <c r="AB182" s="1269"/>
      <c r="AC182" s="1269"/>
      <c r="AD182" s="1269"/>
      <c r="AE182" s="1269"/>
      <c r="AF182" s="1269"/>
      <c r="AG182" s="1269"/>
      <c r="AH182" s="1269"/>
      <c r="AI182" s="1269"/>
      <c r="AJ182" s="1269"/>
      <c r="AK182" s="1269"/>
      <c r="AL182" s="1846"/>
      <c r="AM182" s="1846"/>
      <c r="AN182" s="1269"/>
      <c r="AO182" s="1269"/>
      <c r="AP182" s="1269"/>
      <c r="AQ182" s="1269"/>
    </row>
    <row s="1855" customFormat="1" customHeight="1" ht="17.25">
      <c r="A183" s="1842"/>
      <c r="C183" s="1847"/>
      <c r="D183" s="1832"/>
      <c r="E183" s="1849"/>
      <c r="F183" s="1786"/>
      <c r="G183" s="1850"/>
      <c r="H183" s="2531"/>
      <c r="I183" s="2531"/>
      <c r="J183" s="2503"/>
      <c r="K183" s="2188"/>
      <c r="L183" s="2110"/>
      <c r="M183" s="2110"/>
      <c r="N183" s="2506"/>
      <c r="O183" s="2188"/>
      <c r="P183" s="2110"/>
      <c r="Q183" s="2110"/>
      <c r="R183" s="2504"/>
      <c r="S183" s="2408"/>
      <c r="T183" s="1437"/>
      <c r="U183" s="1438"/>
      <c r="V183" s="1438"/>
      <c r="W183" s="2503"/>
      <c r="Y183" s="1261"/>
      <c r="Z183" s="1261"/>
      <c r="AA183" s="1261"/>
      <c r="AB183" s="1261"/>
      <c r="AC183" s="1261"/>
      <c r="AD183" s="1261"/>
      <c r="AE183" s="1261"/>
      <c r="AF183" s="1261"/>
      <c r="AG183" s="1261"/>
      <c r="AH183" s="1261"/>
      <c r="AI183" s="1261"/>
      <c r="AJ183" s="1261"/>
      <c r="AK183" s="1261"/>
    </row>
    <row s="1855" customFormat="1" customHeight="1" ht="17.25">
      <c r="A184" s="1842"/>
      <c r="C184" s="1847"/>
      <c r="D184" s="1832"/>
      <c r="E184" s="1849"/>
      <c r="F184" s="1786"/>
      <c r="G184" s="1850"/>
      <c r="H184" s="2505"/>
      <c r="I184" s="2505"/>
      <c r="J184" s="2535"/>
      <c r="K184" s="2188"/>
      <c r="L184" s="2505"/>
      <c r="M184" s="2505"/>
      <c r="N184" s="2507"/>
      <c r="O184" s="2114"/>
      <c r="P184" s="319"/>
      <c r="Q184" s="320"/>
      <c r="R184" s="320" t="s">
        <v>415</v>
      </c>
      <c r="S184" s="1848"/>
      <c r="T184" s="1848"/>
      <c r="U184" s="1848"/>
      <c r="V184" s="1848"/>
      <c r="W184" s="1435"/>
      <c r="Y184" s="1261"/>
      <c r="Z184" s="1261"/>
      <c r="AA184" s="1261"/>
      <c r="AB184" s="1261"/>
      <c r="AC184" s="1261"/>
      <c r="AD184" s="1261"/>
      <c r="AE184" s="1261"/>
      <c r="AF184" s="1261"/>
      <c r="AG184" s="1261"/>
      <c r="AH184" s="1261"/>
      <c r="AI184" s="1261"/>
      <c r="AJ184" s="1261"/>
      <c r="AK184" s="1261"/>
    </row>
    <row s="1855" customFormat="1" customHeight="1" ht="17.25">
      <c r="A185" s="1842"/>
      <c r="C185" s="1847"/>
      <c r="D185" s="1832"/>
      <c r="E185" s="1849"/>
      <c r="F185" s="1786"/>
      <c r="G185" s="1850"/>
      <c r="H185" s="2505"/>
      <c r="I185" s="2505"/>
      <c r="J185" s="2535"/>
      <c r="K185" s="2114"/>
      <c r="L185" s="319"/>
      <c r="M185" s="320"/>
      <c r="N185" s="320" t="s">
        <v>416</v>
      </c>
      <c r="O185" s="320"/>
      <c r="P185" s="320"/>
      <c r="Q185" s="320"/>
      <c r="R185" s="320"/>
      <c r="S185" s="1848"/>
      <c r="T185" s="1848"/>
      <c r="U185" s="1848"/>
      <c r="V185" s="1848"/>
      <c r="W185" s="321"/>
      <c r="Y185" s="1261"/>
      <c r="Z185" s="1261"/>
      <c r="AA185" s="1261"/>
      <c r="AB185" s="1261"/>
      <c r="AC185" s="1261"/>
      <c r="AD185" s="1261"/>
      <c r="AE185" s="1261"/>
      <c r="AF185" s="1261"/>
      <c r="AG185" s="1261"/>
      <c r="AH185" s="1261"/>
      <c r="AI185" s="1261"/>
      <c r="AJ185" s="1261"/>
      <c r="AK185" s="1261"/>
    </row>
    <row customHeight="1" ht="17.25">
      <c r="A186" s="1852"/>
    </row>
    <row s="1855" customFormat="1" customHeight="1" ht="17.25">
      <c r="A187" s="1842"/>
      <c r="C187" s="1844"/>
      <c r="D187" s="1832"/>
      <c r="E187" s="1849"/>
      <c r="F187" s="1786"/>
      <c r="G187" s="1850"/>
      <c r="H187" s="1832"/>
      <c r="I187" s="1832"/>
      <c r="J187" s="1853"/>
      <c r="K187" s="1850"/>
      <c r="L187" s="2110"/>
      <c r="M187" s="2110" t="s">
        <v>109</v>
      </c>
      <c r="N187" s="2506" t="str">
        <f>IF(Z187="","",INDEX(TERRITORY_MR_LIST,MATCH(Z187,TERRITORY_LIST_ID,0)))</f>
        <v/>
      </c>
      <c r="O187" s="2187" t="s">
        <v>66</v>
      </c>
      <c r="P187" s="2110"/>
      <c r="Q187" s="2110" t="s">
        <v>109</v>
      </c>
      <c r="R187" s="2504" t="s">
        <v>22</v>
      </c>
      <c r="S187" s="2408" t="s">
        <v>19</v>
      </c>
      <c r="T187" s="1804"/>
      <c r="U187" s="1804" t="s">
        <v>109</v>
      </c>
      <c r="V187" s="1436"/>
      <c r="W187" s="2503"/>
      <c r="Y187" s="1269"/>
      <c r="Z187" s="1269"/>
      <c r="AA187" s="1269"/>
      <c r="AB187" s="1269"/>
      <c r="AC187" s="1269"/>
      <c r="AD187" s="1269"/>
      <c r="AE187" s="1269"/>
      <c r="AF187" s="1269"/>
      <c r="AG187" s="1269"/>
      <c r="AH187" s="1269"/>
      <c r="AI187" s="1269"/>
      <c r="AJ187" s="1269"/>
      <c r="AK187" s="1269"/>
      <c r="AL187" s="1846"/>
      <c r="AM187" s="1846"/>
      <c r="AN187" s="1269"/>
      <c r="AO187" s="1269"/>
      <c r="AP187" s="1269"/>
      <c r="AQ187" s="1269"/>
    </row>
    <row s="1855" customFormat="1" customHeight="1" ht="17.25">
      <c r="A188" s="1842"/>
      <c r="C188" s="1847"/>
      <c r="D188" s="1832"/>
      <c r="E188" s="1849"/>
      <c r="F188" s="1786"/>
      <c r="G188" s="1850"/>
      <c r="H188" s="1832"/>
      <c r="I188" s="1832"/>
      <c r="J188" s="1853"/>
      <c r="K188" s="1850"/>
      <c r="L188" s="2110"/>
      <c r="M188" s="2110"/>
      <c r="N188" s="2506"/>
      <c r="O188" s="2188"/>
      <c r="P188" s="2110"/>
      <c r="Q188" s="2110"/>
      <c r="R188" s="2504"/>
      <c r="S188" s="2408"/>
      <c r="T188" s="1437"/>
      <c r="U188" s="1438"/>
      <c r="V188" s="1438"/>
      <c r="W188" s="2503"/>
      <c r="Y188" s="1261"/>
      <c r="Z188" s="1261"/>
      <c r="AA188" s="1261"/>
      <c r="AB188" s="1261"/>
      <c r="AC188" s="1261"/>
      <c r="AD188" s="1261"/>
      <c r="AE188" s="1261"/>
      <c r="AF188" s="1261"/>
      <c r="AG188" s="1261"/>
      <c r="AH188" s="1261"/>
      <c r="AI188" s="1261"/>
      <c r="AJ188" s="1261"/>
      <c r="AK188" s="1261"/>
    </row>
    <row s="1855" customFormat="1" customHeight="1" ht="17.25">
      <c r="A189" s="1842"/>
      <c r="C189" s="1847"/>
      <c r="D189" s="1832"/>
      <c r="E189" s="1849"/>
      <c r="F189" s="1786"/>
      <c r="G189" s="1850"/>
      <c r="H189" s="1832"/>
      <c r="I189" s="1832"/>
      <c r="J189" s="1853"/>
      <c r="K189" s="1850"/>
      <c r="L189" s="2505"/>
      <c r="M189" s="2505"/>
      <c r="N189" s="2507"/>
      <c r="O189" s="2114"/>
      <c r="P189" s="319"/>
      <c r="Q189" s="320"/>
      <c r="R189" s="320" t="s">
        <v>415</v>
      </c>
      <c r="S189" s="1848"/>
      <c r="T189" s="1848"/>
      <c r="U189" s="1848"/>
      <c r="V189" s="1848"/>
      <c r="W189" s="1435"/>
      <c r="Y189" s="1261"/>
      <c r="Z189" s="1261"/>
      <c r="AA189" s="1261"/>
      <c r="AB189" s="1261"/>
      <c r="AC189" s="1261"/>
      <c r="AD189" s="1261"/>
      <c r="AE189" s="1261"/>
      <c r="AF189" s="1261"/>
      <c r="AG189" s="1261"/>
      <c r="AH189" s="1261"/>
      <c r="AI189" s="1261"/>
      <c r="AJ189" s="1261"/>
      <c r="AK189" s="1261"/>
    </row>
    <row customHeight="1" ht="17.25">
      <c r="A190" s="1852"/>
    </row>
    <row s="1855" customFormat="1" customHeight="1" ht="17.25">
      <c r="A191" s="1842"/>
      <c r="C191" s="1844"/>
      <c r="D191" s="1832"/>
      <c r="E191" s="1849"/>
      <c r="F191" s="1786"/>
      <c r="G191" s="1850"/>
      <c r="H191" s="1832"/>
      <c r="I191" s="1832"/>
      <c r="J191" s="1853"/>
      <c r="K191" s="1850"/>
      <c r="L191" s="1832"/>
      <c r="M191" s="1832"/>
      <c r="N191" s="2050"/>
      <c r="O191" s="1789"/>
      <c r="P191" s="2110"/>
      <c r="Q191" s="2110" t="s">
        <v>109</v>
      </c>
      <c r="R191" s="2504" t="s">
        <v>22</v>
      </c>
      <c r="S191" s="2408" t="s">
        <v>19</v>
      </c>
      <c r="T191" s="1804"/>
      <c r="U191" s="1804" t="s">
        <v>109</v>
      </c>
      <c r="V191" s="1436"/>
      <c r="W191" s="2503"/>
      <c r="Y191" s="1269"/>
      <c r="Z191" s="1269"/>
      <c r="AA191" s="1269"/>
      <c r="AB191" s="1269"/>
      <c r="AC191" s="1269"/>
      <c r="AD191" s="1269"/>
      <c r="AE191" s="1269"/>
      <c r="AF191" s="1269"/>
      <c r="AG191" s="1269"/>
      <c r="AH191" s="1269"/>
      <c r="AI191" s="1269"/>
      <c r="AJ191" s="1269"/>
      <c r="AK191" s="1269"/>
      <c r="AL191" s="1846"/>
      <c r="AM191" s="1846"/>
      <c r="AN191" s="1269"/>
      <c r="AO191" s="1269"/>
      <c r="AP191" s="1269"/>
      <c r="AQ191" s="1269"/>
    </row>
    <row s="1855" customFormat="1" customHeight="1" ht="17.25">
      <c r="A192" s="1842"/>
      <c r="C192" s="1847"/>
      <c r="D192" s="1832"/>
      <c r="E192" s="1849"/>
      <c r="F192" s="1786"/>
      <c r="G192" s="1850"/>
      <c r="H192" s="1832"/>
      <c r="I192" s="1832"/>
      <c r="J192" s="1853"/>
      <c r="K192" s="1850"/>
      <c r="L192" s="1832"/>
      <c r="M192" s="1832"/>
      <c r="N192" s="2050"/>
      <c r="O192" s="1789"/>
      <c r="P192" s="2110"/>
      <c r="Q192" s="2110"/>
      <c r="R192" s="2504"/>
      <c r="S192" s="2408"/>
      <c r="T192" s="1437"/>
      <c r="U192" s="1438"/>
      <c r="V192" s="1438"/>
      <c r="W192" s="2503"/>
      <c r="Y192" s="1261"/>
      <c r="Z192" s="1261"/>
      <c r="AA192" s="1261"/>
      <c r="AB192" s="1261"/>
      <c r="AC192" s="1261"/>
      <c r="AD192" s="1261"/>
      <c r="AE192" s="1261"/>
      <c r="AF192" s="1261"/>
      <c r="AG192" s="1261"/>
      <c r="AH192" s="1261"/>
      <c r="AI192" s="1261"/>
      <c r="AJ192" s="1261"/>
      <c r="AK192" s="1261"/>
    </row>
    <row customHeight="1" ht="17.25">
      <c r="A193" s="1852"/>
    </row>
    <row customHeight="1" ht="16.5">
      <c r="A194" s="1842"/>
      <c r="B194" s="1843"/>
      <c r="C194" s="1847"/>
      <c r="D194" s="2555"/>
      <c r="E194" s="2181"/>
      <c r="F194" s="2181"/>
      <c r="G194" s="2129"/>
      <c r="H194" s="2556"/>
      <c r="I194" s="2569"/>
      <c r="J194" s="2154"/>
      <c r="K194" s="2139"/>
      <c r="L194" s="2139"/>
      <c r="M194" s="2139"/>
      <c r="N194" s="2567"/>
      <c r="O194" s="2139"/>
      <c r="P194" s="2139"/>
      <c r="Q194" s="2139"/>
      <c r="R194" s="2565"/>
      <c r="S194" s="2139"/>
      <c r="T194" s="1785"/>
      <c r="U194" s="1785"/>
      <c r="V194" s="1854"/>
      <c r="W194" s="1298"/>
    </row>
    <row customHeight="1" ht="16.5">
      <c r="A195" s="1842"/>
      <c r="B195" s="1843"/>
      <c r="C195" s="1847"/>
      <c r="D195" s="2555"/>
      <c r="E195" s="2181"/>
      <c r="F195" s="2181"/>
      <c r="G195" s="2129"/>
      <c r="H195" s="2557"/>
      <c r="I195" s="2570"/>
      <c r="J195" s="2155"/>
      <c r="K195" s="2140"/>
      <c r="L195" s="2140"/>
      <c r="M195" s="2140"/>
      <c r="N195" s="2568"/>
      <c r="O195" s="2140"/>
      <c r="P195" s="2140"/>
      <c r="Q195" s="2140"/>
      <c r="R195" s="2566"/>
      <c r="S195" s="2140"/>
      <c r="T195" s="1299"/>
      <c r="U195" s="1299"/>
      <c r="V195" s="1299"/>
      <c r="W195" s="1300"/>
    </row>
    <row customHeight="1" ht="17.25">
      <c r="A196" s="1842"/>
      <c r="B196" s="1843"/>
      <c r="C196" s="1847"/>
      <c r="D196" s="2555"/>
      <c r="E196" s="2181"/>
      <c r="F196" s="2181"/>
      <c r="G196" s="2129"/>
      <c r="H196" s="2557"/>
      <c r="I196" s="2570"/>
      <c r="J196" s="2558"/>
      <c r="K196" s="2140"/>
      <c r="L196" s="2140"/>
      <c r="M196" s="2140"/>
      <c r="N196" s="2566"/>
      <c r="O196" s="2140"/>
      <c r="P196" s="1788"/>
      <c r="Q196" s="1299"/>
      <c r="R196" s="1299"/>
      <c r="S196" s="1855"/>
      <c r="T196" s="1855"/>
      <c r="U196" s="1855"/>
      <c r="V196" s="1855"/>
      <c r="W196" s="1300"/>
    </row>
    <row customHeight="1" ht="17.25">
      <c r="A197" s="1842"/>
      <c r="B197" s="1843"/>
      <c r="C197" s="1847"/>
      <c r="D197" s="2555"/>
      <c r="E197" s="2181"/>
      <c r="F197" s="2181"/>
      <c r="G197" s="2129"/>
      <c r="H197" s="2557"/>
      <c r="I197" s="2570"/>
      <c r="J197" s="2558"/>
      <c r="K197" s="2140"/>
      <c r="L197" s="1299"/>
      <c r="M197" s="1299"/>
      <c r="N197" s="1299"/>
      <c r="O197" s="1299"/>
      <c r="P197" s="1299"/>
      <c r="Q197" s="1299"/>
      <c r="R197" s="1299"/>
      <c r="S197" s="1855"/>
      <c r="T197" s="1855"/>
      <c r="U197" s="1855"/>
      <c r="V197" s="1855"/>
      <c r="W197" s="1300"/>
    </row>
    <row customHeight="1" ht="17.25">
      <c r="A198" s="1842"/>
      <c r="B198" s="1843"/>
      <c r="C198" s="1847"/>
      <c r="D198" s="2555"/>
      <c r="E198" s="2181"/>
      <c r="F198" s="2181"/>
      <c r="G198" s="2129"/>
      <c r="H198" s="1301"/>
      <c r="I198" s="1302"/>
      <c r="J198" s="1302"/>
      <c r="K198" s="1302"/>
      <c r="L198" s="1302"/>
      <c r="M198" s="1302"/>
      <c r="N198" s="1302"/>
      <c r="O198" s="1302"/>
      <c r="P198" s="1302"/>
      <c r="Q198" s="1302"/>
      <c r="R198" s="1302"/>
      <c r="S198" s="1856"/>
      <c r="T198" s="1856"/>
      <c r="U198" s="1856"/>
      <c r="V198" s="1856"/>
      <c r="W198" s="1304"/>
    </row>
    <row r="200" s="1817" customFormat="1" customHeight="1" ht="17.25">
      <c r="A200" s="1817" t="s">
        <v>1939</v>
      </c>
    </row>
    <row customHeight="1" ht="17.25">
      <c r="G201" s="1841"/>
      <c r="H201" s="1841"/>
      <c r="I201" s="1841"/>
      <c r="M201" s="1837"/>
    </row>
    <row s="1852" customFormat="1" customHeight="1" ht="15">
      <c r="D202" s="2525"/>
      <c r="E202" s="2201"/>
      <c r="F202" s="2201"/>
      <c r="G202" s="2187"/>
      <c r="H202" s="1566"/>
      <c r="I202" s="2529">
        <v>1</v>
      </c>
      <c r="J202" s="2503"/>
      <c r="K202" s="1581"/>
      <c r="L202" s="2187" t="s">
        <v>66</v>
      </c>
      <c r="M202" s="2187" t="s">
        <v>66</v>
      </c>
      <c r="N202" s="1566"/>
      <c r="O202" s="2110" t="s">
        <v>109</v>
      </c>
      <c r="P202" s="2519"/>
      <c r="Q202" s="1582"/>
      <c r="R202" s="2187" t="s">
        <v>66</v>
      </c>
      <c r="S202" s="2187" t="s">
        <v>66</v>
      </c>
      <c r="T202" s="1857"/>
      <c r="U202" s="2110" t="s">
        <v>109</v>
      </c>
      <c r="V202" s="2526" t="str">
        <f>IF(AK202="","",INDEX(TERRITORY_MR_LIST,MATCH(AK202,TERRITORY_LIST_ID,0)))</f>
        <v/>
      </c>
      <c r="W202" s="1583"/>
      <c r="X202" s="2187" t="s">
        <v>66</v>
      </c>
      <c r="Y202" s="2187" t="s">
        <v>19</v>
      </c>
      <c r="Z202" s="1566"/>
      <c r="AA202" s="2110" t="s">
        <v>109</v>
      </c>
      <c r="AB202" s="2528"/>
      <c r="AC202" s="1584"/>
      <c r="AD202" s="2187" t="s">
        <v>66</v>
      </c>
      <c r="AE202" s="2187" t="s">
        <v>19</v>
      </c>
      <c r="AF202" s="1564"/>
      <c r="AG202" s="1813" t="s">
        <v>109</v>
      </c>
      <c r="AH202" s="1574"/>
      <c r="AI202" s="1803"/>
    </row>
    <row s="1852" customFormat="1" customHeight="1" ht="15">
      <c r="D203" s="2525"/>
      <c r="E203" s="2201"/>
      <c r="F203" s="2201"/>
      <c r="G203" s="2188"/>
      <c r="H203" s="1566"/>
      <c r="I203" s="2529"/>
      <c r="J203" s="2503"/>
      <c r="K203" s="1565"/>
      <c r="L203" s="2188"/>
      <c r="M203" s="2188"/>
      <c r="N203" s="1566"/>
      <c r="O203" s="2110"/>
      <c r="P203" s="2519"/>
      <c r="Q203" s="1562"/>
      <c r="R203" s="2188"/>
      <c r="S203" s="2188"/>
      <c r="T203" s="1857"/>
      <c r="U203" s="2110"/>
      <c r="V203" s="2527"/>
      <c r="W203" s="1563"/>
      <c r="X203" s="2188"/>
      <c r="Y203" s="2188"/>
      <c r="Z203" s="1566"/>
      <c r="AA203" s="2110"/>
      <c r="AB203" s="2497"/>
      <c r="AC203" s="1567"/>
      <c r="AD203" s="2114"/>
      <c r="AE203" s="2114"/>
      <c r="AF203" s="1568"/>
      <c r="AG203" s="1569"/>
      <c r="AH203" s="2520" t="s">
        <v>1940</v>
      </c>
      <c r="AI203" s="2521"/>
    </row>
    <row s="1852" customFormat="1" customHeight="1" ht="15">
      <c r="D204" s="2525"/>
      <c r="E204" s="2201"/>
      <c r="F204" s="2201"/>
      <c r="G204" s="2188"/>
      <c r="H204" s="1566"/>
      <c r="I204" s="2529"/>
      <c r="J204" s="2503"/>
      <c r="K204" s="1565"/>
      <c r="L204" s="2188"/>
      <c r="M204" s="2188"/>
      <c r="N204" s="1566"/>
      <c r="O204" s="2110"/>
      <c r="P204" s="2519"/>
      <c r="Q204" s="1562"/>
      <c r="R204" s="2188"/>
      <c r="S204" s="2188"/>
      <c r="T204" s="1857"/>
      <c r="U204" s="2110"/>
      <c r="V204" s="2527"/>
      <c r="W204" s="1563"/>
      <c r="X204" s="2188"/>
      <c r="Y204" s="2188"/>
      <c r="Z204" s="1605"/>
      <c r="AA204" s="1571"/>
      <c r="AB204" s="2522" t="s">
        <v>1941</v>
      </c>
      <c r="AC204" s="2522"/>
      <c r="AD204" s="2522"/>
      <c r="AE204" s="2522"/>
      <c r="AF204" s="2522"/>
      <c r="AG204" s="2522"/>
      <c r="AH204" s="2522"/>
      <c r="AI204" s="2523"/>
    </row>
    <row s="1852" customFormat="1" customHeight="1" ht="15">
      <c r="D205" s="2525"/>
      <c r="E205" s="2201"/>
      <c r="F205" s="2201"/>
      <c r="G205" s="2188"/>
      <c r="H205" s="1566"/>
      <c r="I205" s="2529"/>
      <c r="J205" s="2503"/>
      <c r="K205" s="1565"/>
      <c r="L205" s="2188"/>
      <c r="M205" s="2188"/>
      <c r="N205" s="1566"/>
      <c r="O205" s="2110"/>
      <c r="P205" s="2524"/>
      <c r="Q205" s="1562"/>
      <c r="R205" s="2188"/>
      <c r="S205" s="2188"/>
      <c r="T205" s="1858"/>
      <c r="U205" s="1606"/>
      <c r="V205" s="2520" t="s">
        <v>103</v>
      </c>
      <c r="W205" s="2520"/>
      <c r="X205" s="2520"/>
      <c r="Y205" s="2520"/>
      <c r="Z205" s="2520"/>
      <c r="AA205" s="2520"/>
      <c r="AB205" s="2520"/>
      <c r="AC205" s="2520"/>
      <c r="AD205" s="2520"/>
      <c r="AE205" s="2520"/>
      <c r="AF205" s="2520"/>
      <c r="AG205" s="2520"/>
      <c r="AH205" s="2520"/>
      <c r="AI205" s="2521"/>
    </row>
    <row s="1852" customFormat="1" customHeight="1" ht="11.25">
      <c r="D206" s="2525"/>
      <c r="E206" s="2201"/>
      <c r="F206" s="2201"/>
      <c r="G206" s="2188"/>
      <c r="H206" s="1570"/>
      <c r="I206" s="2529"/>
      <c r="J206" s="2530"/>
      <c r="K206" s="1565"/>
      <c r="L206" s="2188"/>
      <c r="M206" s="2188"/>
      <c r="N206" s="1570"/>
      <c r="O206" s="1571"/>
      <c r="P206" s="2520" t="s">
        <v>1942</v>
      </c>
      <c r="Q206" s="2520"/>
      <c r="R206" s="2520"/>
      <c r="S206" s="2520"/>
      <c r="T206" s="2520"/>
      <c r="U206" s="2520"/>
      <c r="V206" s="2520"/>
      <c r="W206" s="2520"/>
      <c r="X206" s="2520"/>
      <c r="Y206" s="2520"/>
      <c r="Z206" s="2520"/>
      <c r="AA206" s="2520"/>
      <c r="AB206" s="2520"/>
      <c r="AC206" s="2520"/>
      <c r="AD206" s="2520"/>
      <c r="AE206" s="2520"/>
      <c r="AF206" s="2520"/>
      <c r="AG206" s="2520"/>
      <c r="AH206" s="2520"/>
      <c r="AI206" s="2521"/>
    </row>
    <row s="1556" customFormat="1" customHeight="1" ht="11.25">
      <c r="D207" s="2525"/>
      <c r="E207" s="2201"/>
      <c r="F207" s="2201"/>
      <c r="G207" s="2114"/>
      <c r="H207" s="1572"/>
      <c r="I207" s="1573"/>
      <c r="J207" s="2520" t="s">
        <v>448</v>
      </c>
      <c r="K207" s="2520"/>
      <c r="L207" s="2520"/>
      <c r="M207" s="2520"/>
      <c r="N207" s="2520"/>
      <c r="O207" s="2520"/>
      <c r="P207" s="2520"/>
      <c r="Q207" s="2520"/>
      <c r="R207" s="2520"/>
      <c r="S207" s="2520"/>
      <c r="T207" s="2520"/>
      <c r="U207" s="2520"/>
      <c r="V207" s="2520"/>
      <c r="W207" s="2520"/>
      <c r="X207" s="2520"/>
      <c r="Y207" s="2520"/>
      <c r="Z207" s="2520"/>
      <c r="AA207" s="2520"/>
      <c r="AB207" s="2520"/>
      <c r="AC207" s="2520"/>
      <c r="AD207" s="2520"/>
      <c r="AE207" s="2520"/>
      <c r="AF207" s="2520"/>
      <c r="AG207" s="2520"/>
      <c r="AH207" s="2520"/>
      <c r="AI207" s="2521"/>
      <c r="BK207" s="1576"/>
    </row>
    <row customHeight="1" ht="17.25">
      <c r="G208" s="1841"/>
      <c r="I208" s="1841"/>
      <c r="J208" s="1841"/>
      <c r="N208" s="1837"/>
    </row>
    <row s="1852" customFormat="1" customHeight="1" ht="15">
      <c r="D209" s="2525"/>
      <c r="E209" s="2201"/>
      <c r="F209" s="2201"/>
      <c r="G209" s="2181"/>
      <c r="H209" s="1601"/>
      <c r="I209" s="2183"/>
      <c r="J209" s="2154"/>
      <c r="K209" s="1787"/>
      <c r="L209" s="2139"/>
      <c r="M209" s="2139"/>
      <c r="N209" s="1586"/>
      <c r="O209" s="2139"/>
      <c r="P209" s="2154"/>
      <c r="Q209" s="1791"/>
      <c r="R209" s="2139"/>
      <c r="S209" s="2139"/>
      <c r="T209" s="1859"/>
      <c r="U209" s="2139"/>
      <c r="V209" s="2154"/>
      <c r="W209" s="1589"/>
      <c r="X209" s="2139"/>
      <c r="Y209" s="2139"/>
      <c r="Z209" s="1586"/>
      <c r="AA209" s="2139"/>
      <c r="AB209" s="2154"/>
      <c r="AC209" s="1590"/>
      <c r="AD209" s="2139"/>
      <c r="AE209" s="2139"/>
      <c r="AF209" s="1785"/>
      <c r="AG209" s="1785"/>
      <c r="AH209" s="1591"/>
      <c r="AI209" s="1298"/>
    </row>
    <row s="1852" customFormat="1" customHeight="1" ht="15">
      <c r="D210" s="2525"/>
      <c r="E210" s="2201"/>
      <c r="F210" s="2201"/>
      <c r="G210" s="2181"/>
      <c r="H210" s="1602"/>
      <c r="I210" s="2184"/>
      <c r="J210" s="2155"/>
      <c r="K210" s="1612"/>
      <c r="L210" s="2140"/>
      <c r="M210" s="2140"/>
      <c r="N210" s="1592"/>
      <c r="O210" s="2140"/>
      <c r="P210" s="2155"/>
      <c r="Q210" s="1792"/>
      <c r="R210" s="2140"/>
      <c r="S210" s="2140"/>
      <c r="T210" s="1860"/>
      <c r="U210" s="2140"/>
      <c r="V210" s="2155"/>
      <c r="W210" s="1595"/>
      <c r="X210" s="2140"/>
      <c r="Y210" s="2140"/>
      <c r="Z210" s="1592"/>
      <c r="AA210" s="2140"/>
      <c r="AB210" s="2155"/>
      <c r="AC210" s="1596"/>
      <c r="AD210" s="2140"/>
      <c r="AE210" s="2140"/>
      <c r="AF210" s="1790"/>
      <c r="AG210" s="1790"/>
      <c r="AH210" s="2179"/>
      <c r="AI210" s="2180"/>
    </row>
    <row s="1852" customFormat="1" customHeight="1" ht="15">
      <c r="D211" s="2525"/>
      <c r="E211" s="2201"/>
      <c r="F211" s="2201"/>
      <c r="G211" s="2181"/>
      <c r="H211" s="1602"/>
      <c r="I211" s="2184"/>
      <c r="J211" s="2155"/>
      <c r="K211" s="1612"/>
      <c r="L211" s="2140"/>
      <c r="M211" s="2140"/>
      <c r="N211" s="1592"/>
      <c r="O211" s="2140"/>
      <c r="P211" s="2155"/>
      <c r="Q211" s="1792"/>
      <c r="R211" s="2140"/>
      <c r="S211" s="2140"/>
      <c r="T211" s="1860"/>
      <c r="U211" s="2140"/>
      <c r="V211" s="2155"/>
      <c r="W211" s="1595"/>
      <c r="X211" s="2140"/>
      <c r="Y211" s="2140"/>
      <c r="Z211" s="1788"/>
      <c r="AA211" s="1790"/>
      <c r="AB211" s="2179"/>
      <c r="AC211" s="2179"/>
      <c r="AD211" s="2179"/>
      <c r="AE211" s="2179"/>
      <c r="AF211" s="2179"/>
      <c r="AG211" s="2179"/>
      <c r="AH211" s="2179"/>
      <c r="AI211" s="2180"/>
    </row>
    <row s="1852" customFormat="1" customHeight="1" ht="15">
      <c r="D212" s="2525"/>
      <c r="E212" s="2201"/>
      <c r="F212" s="2201"/>
      <c r="G212" s="2181"/>
      <c r="H212" s="1602"/>
      <c r="I212" s="2184"/>
      <c r="J212" s="2155"/>
      <c r="K212" s="1612"/>
      <c r="L212" s="2140"/>
      <c r="M212" s="2140"/>
      <c r="N212" s="1592"/>
      <c r="O212" s="2140"/>
      <c r="P212" s="2155"/>
      <c r="Q212" s="1792"/>
      <c r="R212" s="2140"/>
      <c r="S212" s="2140"/>
      <c r="T212" s="1861"/>
      <c r="U212" s="1599"/>
      <c r="V212" s="2179"/>
      <c r="W212" s="2179"/>
      <c r="X212" s="2179"/>
      <c r="Y212" s="2179"/>
      <c r="Z212" s="2179"/>
      <c r="AA212" s="2179"/>
      <c r="AB212" s="2179"/>
      <c r="AC212" s="2179"/>
      <c r="AD212" s="2179"/>
      <c r="AE212" s="2179"/>
      <c r="AF212" s="2179"/>
      <c r="AG212" s="2179"/>
      <c r="AH212" s="2179"/>
      <c r="AI212" s="2180"/>
    </row>
    <row s="1852" customFormat="1" customHeight="1" ht="11.25">
      <c r="D213" s="2525"/>
      <c r="E213" s="2201"/>
      <c r="F213" s="2201"/>
      <c r="G213" s="2181"/>
      <c r="H213" s="1603"/>
      <c r="I213" s="2184"/>
      <c r="J213" s="2155"/>
      <c r="K213" s="1612"/>
      <c r="L213" s="2140"/>
      <c r="M213" s="2140"/>
      <c r="N213" s="1790"/>
      <c r="O213" s="1790"/>
      <c r="P213" s="2179"/>
      <c r="Q213" s="2179"/>
      <c r="R213" s="2179"/>
      <c r="S213" s="2179"/>
      <c r="T213" s="2179"/>
      <c r="U213" s="2179"/>
      <c r="V213" s="2179"/>
      <c r="W213" s="2179"/>
      <c r="X213" s="2179"/>
      <c r="Y213" s="2179"/>
      <c r="Z213" s="2179"/>
      <c r="AA213" s="2179"/>
      <c r="AB213" s="2179"/>
      <c r="AC213" s="2179"/>
      <c r="AD213" s="2179"/>
      <c r="AE213" s="2179"/>
      <c r="AF213" s="2179"/>
      <c r="AG213" s="2179"/>
      <c r="AH213" s="2179"/>
      <c r="AI213" s="2180"/>
    </row>
    <row s="1556" customFormat="1" customHeight="1" ht="11.25">
      <c r="D214" s="2525"/>
      <c r="E214" s="2201"/>
      <c r="F214" s="2201"/>
      <c r="G214" s="2186"/>
      <c r="H214" s="1600"/>
      <c r="I214" s="1604"/>
      <c r="J214" s="2189"/>
      <c r="K214" s="2189"/>
      <c r="L214" s="2189"/>
      <c r="M214" s="2189"/>
      <c r="N214" s="2189"/>
      <c r="O214" s="2189"/>
      <c r="P214" s="2189"/>
      <c r="Q214" s="2189"/>
      <c r="R214" s="2189"/>
      <c r="S214" s="2189"/>
      <c r="T214" s="2189"/>
      <c r="U214" s="2189"/>
      <c r="V214" s="2189"/>
      <c r="W214" s="2189"/>
      <c r="X214" s="2189"/>
      <c r="Y214" s="2189"/>
      <c r="Z214" s="2189"/>
      <c r="AA214" s="2189"/>
      <c r="AB214" s="2189"/>
      <c r="AC214" s="2189"/>
      <c r="AD214" s="2189"/>
      <c r="AE214" s="2189"/>
      <c r="AF214" s="2189"/>
      <c r="AG214" s="2189"/>
      <c r="AH214" s="2189"/>
      <c r="AI214" s="2190"/>
      <c r="BK214" s="1576"/>
    </row>
    <row customHeight="1" ht="17.25">
      <c r="A215" s="1852"/>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AD6986-DF9F-5B3D-502C-04F75D7DEBD3}"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2" width="43.140625"/>
    <col min="2" max="2" style="842" width="43.140625" hidden="1"/>
    <col min="3" max="3" style="842" width="43.140625"/>
    <col min="4" max="5" style="842" width="36.421875" customWidth="1"/>
    <col min="6" max="8" style="983" width="36.421875" customWidth="1"/>
  </cols>
  <sheetData>
    <row customHeight="1" ht="9">
      <c r="A1" s="848" t="s">
        <v>1943</v>
      </c>
      <c r="B1" s="848"/>
      <c r="C1" s="984" t="s">
        <v>1944</v>
      </c>
      <c r="D1" s="982" t="s">
        <v>808</v>
      </c>
      <c r="E1" s="982" t="s">
        <v>854</v>
      </c>
      <c r="F1" s="982" t="s">
        <v>907</v>
      </c>
      <c r="G1" s="982" t="s">
        <v>894</v>
      </c>
      <c r="H1" s="982" t="s">
        <v>1618</v>
      </c>
    </row>
    <row customHeight="1" ht="9">
      <c r="A2" s="985" t="s">
        <v>1945</v>
      </c>
      <c r="B2" s="985"/>
      <c r="C2" s="986" t="str">
        <f>INDEX(TEMPLATE_NUMBER_FORM_LIST,MATCH(TEMPLATE_SPHERE,TEMPLATE_SPHERE_LIST,0))</f>
        <v>16</v>
      </c>
      <c r="D2" s="985" t="s">
        <v>1468</v>
      </c>
      <c r="E2" s="985" t="s">
        <v>151</v>
      </c>
      <c r="F2" s="987" t="s">
        <v>151</v>
      </c>
      <c r="G2" s="985" t="s">
        <v>151</v>
      </c>
      <c r="H2" s="988"/>
    </row>
    <row customHeight="1" ht="63">
      <c r="A3" s="848"/>
      <c r="B3" s="848" t="s">
        <v>109</v>
      </c>
      <c r="C3" s="986"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6" t="s">
        <v>1946</v>
      </c>
      <c r="E3" s="98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7"/>
      <c r="G3" s="988"/>
      <c r="H3" s="848"/>
    </row>
    <row customHeight="1" ht="243">
      <c r="A4" s="848" t="s">
        <v>1947</v>
      </c>
      <c r="B4" s="848" t="s">
        <v>110</v>
      </c>
      <c r="C4" s="986"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5" t="s">
        <v>1948</v>
      </c>
      <c r="E4" s="98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5"/>
      <c r="G4" s="985"/>
      <c r="H4" s="848" t="s">
        <v>1949</v>
      </c>
    </row>
    <row customHeight="1" ht="117">
      <c r="A5" s="848" t="s">
        <v>1950</v>
      </c>
      <c r="B5" s="848" t="s">
        <v>90</v>
      </c>
      <c r="C5" s="986"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8" t="s">
        <v>1951</v>
      </c>
      <c r="E5" s="85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8"/>
      <c r="G5" s="988"/>
      <c r="H5" s="848" t="s">
        <v>1952</v>
      </c>
    </row>
    <row customHeight="1" ht="90">
      <c r="A6" s="848" t="s">
        <v>1953</v>
      </c>
      <c r="B6" s="848" t="s">
        <v>91</v>
      </c>
      <c r="C6" s="986"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8"/>
      <c r="G6" s="848"/>
      <c r="H6" s="988"/>
    </row>
    <row customHeight="1" ht="45">
      <c r="A7" s="848" t="s">
        <v>1954</v>
      </c>
      <c r="B7" s="848" t="s">
        <v>111</v>
      </c>
      <c r="C7" s="986" t="str">
        <f>IF(TEMPLATE_SPHERE="HEAT",D7,E7)</f>
        <v>Форма 11. Информация о расходах на капитальный и текущий ремонт основных средств</v>
      </c>
      <c r="D7" s="848" t="s">
        <v>1955</v>
      </c>
      <c r="E7" s="848" t="s">
        <v>1956</v>
      </c>
      <c r="F7" s="988"/>
      <c r="G7" s="988"/>
      <c r="H7" s="988"/>
    </row>
    <row customHeight="1" ht="108">
      <c r="A8" s="848" t="s">
        <v>1957</v>
      </c>
      <c r="B8" s="848" t="s">
        <v>92</v>
      </c>
      <c r="C8" s="986"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8" t="s">
        <v>1157</v>
      </c>
      <c r="E8" s="848" t="s">
        <v>1958</v>
      </c>
      <c r="F8" s="988"/>
      <c r="G8" s="988"/>
      <c r="H8" s="988"/>
    </row>
    <row customHeight="1" ht="99">
      <c r="A9" s="848" t="s">
        <v>1959</v>
      </c>
      <c r="B9" s="848"/>
      <c r="C9" s="848" t="s">
        <v>1960</v>
      </c>
      <c r="D9" s="848"/>
      <c r="E9" s="848"/>
      <c r="F9" s="988"/>
      <c r="G9" s="988"/>
      <c r="H9" s="988"/>
    </row>
    <row customHeight="1" ht="126">
      <c r="A10" s="848" t="s">
        <v>1961</v>
      </c>
      <c r="B10" s="848"/>
      <c r="C10" s="848" t="s">
        <v>1962</v>
      </c>
      <c r="D10" s="848"/>
      <c r="E10" s="848"/>
      <c r="F10" s="988"/>
      <c r="G10" s="988"/>
      <c r="H10" s="988"/>
    </row>
    <row customHeight="1" ht="108">
      <c r="A11" s="848" t="s">
        <v>1963</v>
      </c>
      <c r="B11" s="848"/>
      <c r="C11" s="848" t="s">
        <v>1964</v>
      </c>
      <c r="D11" s="848"/>
      <c r="E11" s="848"/>
      <c r="F11" s="988"/>
      <c r="G11" s="988"/>
      <c r="H11" s="988"/>
    </row>
    <row customHeight="1" ht="54">
      <c r="A12" s="848" t="s">
        <v>1965</v>
      </c>
      <c r="B12" s="848"/>
      <c r="C12" s="848" t="s">
        <v>1966</v>
      </c>
      <c r="D12" s="848"/>
      <c r="E12" s="848"/>
      <c r="F12" s="988"/>
      <c r="G12" s="988"/>
      <c r="H12" s="988"/>
    </row>
    <row customHeight="1" ht="45">
      <c r="A13" s="848" t="s">
        <v>1967</v>
      </c>
      <c r="B13" s="848"/>
      <c r="C13" s="848" t="s">
        <v>1968</v>
      </c>
      <c r="D13" s="848"/>
      <c r="E13" s="848"/>
      <c r="F13" s="988"/>
      <c r="G13" s="988"/>
      <c r="H13" s="988"/>
    </row>
    <row customHeight="1" ht="117">
      <c r="A14" s="848" t="s">
        <v>1969</v>
      </c>
      <c r="B14" s="848"/>
      <c r="C14" s="848" t="s">
        <v>1970</v>
      </c>
      <c r="D14" s="848"/>
      <c r="E14" s="848"/>
      <c r="F14" s="988"/>
      <c r="G14" s="988"/>
      <c r="H14" s="988"/>
    </row>
    <row customHeight="1" ht="117">
      <c r="A15" s="848" t="s">
        <v>1971</v>
      </c>
      <c r="B15" s="848"/>
      <c r="C15" s="848" t="s">
        <v>1972</v>
      </c>
      <c r="D15" s="848"/>
      <c r="E15" s="848"/>
      <c r="F15" s="988"/>
      <c r="G15" s="988"/>
      <c r="H15" s="988"/>
    </row>
    <row customHeight="1" ht="63">
      <c r="A16" s="848" t="s">
        <v>1973</v>
      </c>
      <c r="B16" s="848"/>
      <c r="C16" s="848" t="s">
        <v>1974</v>
      </c>
      <c r="D16" s="848"/>
      <c r="E16" s="848"/>
      <c r="F16" s="988"/>
      <c r="G16" s="988"/>
      <c r="H16" s="988"/>
    </row>
    <row customHeight="1" ht="54">
      <c r="A17" s="848" t="s">
        <v>1975</v>
      </c>
      <c r="B17" s="848"/>
      <c r="C17" s="986" t="s">
        <v>1976</v>
      </c>
      <c r="D17" s="848"/>
      <c r="E17" s="848"/>
      <c r="F17" s="988"/>
      <c r="G17" s="988"/>
      <c r="H17" s="988"/>
    </row>
    <row customHeight="1" ht="27">
      <c r="A18" s="848" t="s">
        <v>1977</v>
      </c>
      <c r="B18" s="848"/>
      <c r="C18" s="986" t="s">
        <v>1978</v>
      </c>
      <c r="D18" s="848"/>
      <c r="E18" s="848"/>
      <c r="F18" s="988"/>
      <c r="G18" s="988"/>
      <c r="H18" s="988"/>
    </row>
    <row customHeight="1" ht="54">
      <c r="A19" s="848" t="s">
        <v>1979</v>
      </c>
      <c r="B19" s="848"/>
      <c r="C19" s="986" t="s">
        <v>1980</v>
      </c>
      <c r="D19" s="848"/>
      <c r="E19" s="848"/>
      <c r="F19" s="988"/>
      <c r="G19" s="988"/>
      <c r="H19" s="988"/>
    </row>
    <row customHeight="1" ht="36">
      <c r="A20" s="848" t="s">
        <v>1981</v>
      </c>
      <c r="B20" s="848"/>
      <c r="C20" s="986" t="s">
        <v>1982</v>
      </c>
      <c r="D20" s="848"/>
      <c r="E20" s="848"/>
      <c r="F20" s="988"/>
      <c r="G20" s="988"/>
      <c r="H20" s="988"/>
    </row>
    <row customHeight="1" ht="36">
      <c r="A21" s="848" t="s">
        <v>1983</v>
      </c>
      <c r="B21" s="848"/>
      <c r="C21" s="986" t="s">
        <v>1984</v>
      </c>
      <c r="D21" s="848"/>
      <c r="E21" s="848"/>
      <c r="F21" s="988"/>
      <c r="G21" s="988"/>
      <c r="H21" s="988"/>
    </row>
    <row customHeight="1" ht="27">
      <c r="A22" s="848" t="s">
        <v>1985</v>
      </c>
      <c r="B22" s="848"/>
      <c r="C22" s="986" t="s">
        <v>1986</v>
      </c>
      <c r="D22" s="848"/>
      <c r="E22" s="848"/>
      <c r="F22" s="988"/>
      <c r="G22" s="988"/>
      <c r="H22" s="988"/>
    </row>
    <row customHeight="1" ht="36">
      <c r="A23" s="848" t="s">
        <v>1987</v>
      </c>
      <c r="B23" s="848"/>
      <c r="C23" s="986" t="s">
        <v>1988</v>
      </c>
      <c r="D23" s="848"/>
      <c r="E23" s="848"/>
      <c r="F23" s="988"/>
      <c r="G23" s="988"/>
      <c r="H23" s="988"/>
    </row>
    <row customHeight="1" ht="28.5">
      <c r="A24" s="848" t="s">
        <v>1989</v>
      </c>
      <c r="B24" s="848"/>
      <c r="C24" s="986" t="s">
        <v>1990</v>
      </c>
      <c r="D24" s="848"/>
      <c r="E24" s="848"/>
      <c r="F24" s="988"/>
      <c r="G24" s="988"/>
      <c r="H24" s="988"/>
    </row>
    <row customHeight="1" ht="36">
      <c r="A25" s="848" t="s">
        <v>1991</v>
      </c>
      <c r="B25" s="848"/>
      <c r="C25" s="986" t="s">
        <v>1992</v>
      </c>
      <c r="D25" s="848"/>
      <c r="E25" s="848"/>
      <c r="F25" s="988"/>
      <c r="G25" s="988"/>
      <c r="H25" s="988"/>
    </row>
    <row customHeight="1" ht="27">
      <c r="A26" s="848" t="s">
        <v>1993</v>
      </c>
      <c r="B26" s="848"/>
      <c r="C26" s="986" t="s">
        <v>1994</v>
      </c>
      <c r="D26" s="848"/>
      <c r="E26" s="848"/>
      <c r="F26" s="988"/>
      <c r="G26" s="988"/>
      <c r="H26" s="988"/>
    </row>
    <row customHeight="1" ht="36">
      <c r="A27" s="848" t="s">
        <v>1995</v>
      </c>
      <c r="B27" s="848"/>
      <c r="C27" s="986" t="s">
        <v>1996</v>
      </c>
      <c r="D27" s="848"/>
      <c r="E27" s="848"/>
      <c r="F27" s="988"/>
      <c r="G27" s="988"/>
      <c r="H27" s="988"/>
    </row>
    <row customHeight="1" ht="28.5">
      <c r="A28" s="848" t="s">
        <v>1997</v>
      </c>
      <c r="B28" s="848"/>
      <c r="C28" s="986" t="s">
        <v>1998</v>
      </c>
      <c r="D28" s="848"/>
      <c r="E28" s="848"/>
      <c r="F28" s="988"/>
      <c r="G28" s="988"/>
      <c r="H28" s="988"/>
    </row>
    <row customHeight="1" ht="126">
      <c r="A29" s="848" t="s">
        <v>1999</v>
      </c>
      <c r="B29" s="848" t="s">
        <v>1569</v>
      </c>
      <c r="C29" s="986"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8" t="s">
        <v>2000</v>
      </c>
      <c r="E29" s="85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8"/>
      <c r="G29" s="988"/>
      <c r="H29" s="848" t="s">
        <v>2001</v>
      </c>
    </row>
    <row customHeight="1" ht="36">
      <c r="A30" s="848" t="s">
        <v>2002</v>
      </c>
      <c r="B30" s="848"/>
      <c r="C30" s="986"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8" t="s">
        <v>2003</v>
      </c>
      <c r="E30" s="85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8"/>
      <c r="G30" s="988"/>
      <c r="H30" s="988"/>
    </row>
    <row customHeight="1" ht="54">
      <c r="A31" s="848" t="s">
        <v>2004</v>
      </c>
      <c r="B31" s="848"/>
      <c r="C31" s="986"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8" t="s">
        <v>2005</v>
      </c>
      <c r="E31" s="85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8"/>
      <c r="G31" s="988"/>
      <c r="H31" s="988"/>
    </row>
    <row customHeight="1" ht="198">
      <c r="A32" s="848" t="s">
        <v>2006</v>
      </c>
      <c r="B32" s="848"/>
      <c r="C32" s="986"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8" t="s">
        <v>2007</v>
      </c>
      <c r="E32" s="85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8"/>
      <c r="G32" s="988"/>
      <c r="H32" s="848" t="s">
        <v>2008</v>
      </c>
    </row>
    <row customHeight="1" ht="9">
      <c r="A33" s="848"/>
      <c r="B33" s="848"/>
      <c r="C33" s="986"/>
      <c r="D33" s="848"/>
      <c r="E33" s="848"/>
      <c r="F33" s="988"/>
      <c r="G33" s="988"/>
      <c r="H33" s="988"/>
    </row>
    <row customHeight="1" ht="9">
      <c r="A34" s="848"/>
      <c r="B34" s="848" t="s">
        <v>1506</v>
      </c>
      <c r="C34" s="986">
        <f>INDEX(TEMPLATE_NAME_FORM_LIST,B34,MATCH(TEMPLATE_SPHERE,TEMPLATE_SPHERE_LIST,0))</f>
        <v>0</v>
      </c>
      <c r="D34" s="848"/>
      <c r="E34" s="848"/>
      <c r="F34" s="988"/>
      <c r="G34" s="988"/>
      <c r="H34" s="988"/>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F1C5BCB-5F39-83BA-98DB-A28324900764}"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2" width="9.140625"/>
    <col min="3" max="7" style="844" width="8.00390625" customWidth="1"/>
    <col min="8" max="12" style="844" width="8.57421875" customWidth="1"/>
    <col min="13" max="14" style="844" width="27.7109375" customWidth="1"/>
    <col min="15" max="19" style="844" width="5.140625" customWidth="1"/>
    <col min="20" max="24" style="844" width="27.7109375" customWidth="1"/>
    <col min="25" max="25" style="1003" width="1.8515625" customWidth="1"/>
    <col min="26" max="26" style="842" width="27.7109375" customWidth="1"/>
    <col min="27" max="27" style="853" width="27.7109375" customWidth="1"/>
    <col min="28" max="29" style="842" width="27.7109375" customWidth="1"/>
    <col min="30" max="30" style="842" width="3.8515625" customWidth="1"/>
    <col min="31" max="34" style="842" width="9.140625"/>
  </cols>
  <sheetData>
    <row s="841" customFormat="1" customHeight="1" ht="18">
      <c r="A1" s="900"/>
      <c r="B1" s="900"/>
      <c r="C1" s="900" t="s">
        <v>2009</v>
      </c>
      <c r="D1" s="900"/>
      <c r="E1" s="900"/>
      <c r="F1" s="900"/>
      <c r="G1" s="900"/>
      <c r="H1" s="900" t="s">
        <v>2010</v>
      </c>
      <c r="I1" s="900"/>
      <c r="J1" s="900"/>
      <c r="K1" s="900"/>
      <c r="L1" s="900"/>
      <c r="M1" s="900" t="s">
        <v>2011</v>
      </c>
      <c r="N1" s="900" t="s">
        <v>2012</v>
      </c>
      <c r="O1" s="2594" t="s">
        <v>2013</v>
      </c>
      <c r="P1" s="2594"/>
      <c r="Q1" s="2594"/>
      <c r="R1" s="2594"/>
      <c r="S1" s="2594"/>
      <c r="T1" s="2594" t="s">
        <v>2011</v>
      </c>
      <c r="U1" s="2594"/>
      <c r="V1" s="2594"/>
      <c r="W1" s="2594"/>
      <c r="X1" s="2594"/>
      <c r="Y1" s="1001"/>
      <c r="Z1" s="2594" t="s">
        <v>2014</v>
      </c>
      <c r="AA1" s="2594"/>
      <c r="AB1" s="2594"/>
      <c r="AC1" s="2594"/>
      <c r="AD1" s="2594"/>
    </row>
    <row customHeight="1" ht="18">
      <c r="A2" s="848"/>
      <c r="B2" s="848"/>
      <c r="C2" s="843" t="s">
        <v>808</v>
      </c>
      <c r="D2" s="843" t="s">
        <v>854</v>
      </c>
      <c r="E2" s="843" t="s">
        <v>907</v>
      </c>
      <c r="F2" s="843" t="s">
        <v>894</v>
      </c>
      <c r="G2" s="843" t="s">
        <v>1618</v>
      </c>
      <c r="H2" s="845"/>
      <c r="I2" s="845"/>
      <c r="J2" s="845"/>
      <c r="K2" s="845"/>
      <c r="L2" s="845"/>
      <c r="M2" s="845"/>
      <c r="N2" s="845"/>
      <c r="O2" s="843" t="s">
        <v>808</v>
      </c>
      <c r="P2" s="843" t="s">
        <v>854</v>
      </c>
      <c r="Q2" s="843" t="s">
        <v>894</v>
      </c>
      <c r="R2" s="843" t="s">
        <v>907</v>
      </c>
      <c r="S2" s="843" t="s">
        <v>1618</v>
      </c>
      <c r="T2" s="843" t="s">
        <v>808</v>
      </c>
      <c r="U2" s="843" t="s">
        <v>854</v>
      </c>
      <c r="V2" s="843" t="s">
        <v>894</v>
      </c>
      <c r="W2" s="843" t="s">
        <v>907</v>
      </c>
      <c r="X2" s="843" t="s">
        <v>1618</v>
      </c>
      <c r="Y2" s="843"/>
      <c r="Z2" s="843" t="s">
        <v>808</v>
      </c>
      <c r="AA2" s="852" t="s">
        <v>854</v>
      </c>
      <c r="AB2" s="843" t="s">
        <v>894</v>
      </c>
      <c r="AC2" s="843" t="s">
        <v>907</v>
      </c>
      <c r="AD2" s="843" t="s">
        <v>1618</v>
      </c>
    </row>
    <row customHeight="1" ht="162">
      <c r="A3" s="847" t="s">
        <v>27</v>
      </c>
      <c r="B3" s="847"/>
      <c r="C3" s="2598" t="s">
        <v>2015</v>
      </c>
      <c r="D3" s="2599"/>
      <c r="E3" s="2599"/>
      <c r="F3" s="2600"/>
      <c r="G3" s="845"/>
      <c r="H3" s="845"/>
      <c r="I3" s="845"/>
      <c r="J3" s="845"/>
      <c r="K3" s="845"/>
      <c r="L3" s="845"/>
      <c r="M3" s="845"/>
      <c r="N3" s="846"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5"/>
      <c r="P3" s="845"/>
      <c r="Q3" s="845"/>
      <c r="R3" s="845"/>
      <c r="S3" s="845"/>
      <c r="T3" s="845"/>
      <c r="U3" s="845"/>
      <c r="V3" s="845"/>
      <c r="W3" s="845"/>
      <c r="X3" s="845"/>
      <c r="Y3" s="1002"/>
      <c r="Z3" s="848" t="s">
        <v>2016</v>
      </c>
      <c r="AA3" s="845" t="s">
        <v>2017</v>
      </c>
      <c r="AB3" s="848" t="s">
        <v>2018</v>
      </c>
      <c r="AC3" s="848" t="s">
        <v>2019</v>
      </c>
      <c r="AD3" s="848"/>
      <c r="AG3" s="848"/>
      <c r="AH3" s="848"/>
    </row>
    <row customHeight="1" ht="9">
      <c r="A4" s="847"/>
      <c r="B4" s="847"/>
      <c r="C4" s="845"/>
      <c r="D4" s="845"/>
      <c r="E4" s="845"/>
      <c r="F4" s="845"/>
      <c r="G4" s="845"/>
      <c r="H4" s="845"/>
      <c r="I4" s="845"/>
      <c r="J4" s="845"/>
      <c r="K4" s="845"/>
      <c r="L4" s="845"/>
      <c r="M4" s="845"/>
      <c r="N4" s="845"/>
      <c r="O4" s="845"/>
      <c r="P4" s="845"/>
      <c r="Q4" s="845"/>
      <c r="R4" s="845"/>
      <c r="S4" s="845"/>
      <c r="T4" s="845"/>
      <c r="U4" s="845"/>
      <c r="V4" s="845"/>
      <c r="W4" s="845"/>
      <c r="X4" s="845"/>
      <c r="Y4" s="1002"/>
      <c r="Z4" s="848"/>
      <c r="AA4" s="851"/>
      <c r="AB4" s="848"/>
      <c r="AC4" s="848"/>
      <c r="AD4" s="848"/>
    </row>
    <row customHeight="1" ht="9">
      <c r="A5" s="847"/>
      <c r="B5" s="847"/>
      <c r="C5" s="845"/>
      <c r="D5" s="845"/>
      <c r="E5" s="845"/>
      <c r="F5" s="845"/>
      <c r="G5" s="845"/>
      <c r="H5" s="845"/>
      <c r="I5" s="845"/>
      <c r="J5" s="845"/>
      <c r="K5" s="845"/>
      <c r="L5" s="845"/>
      <c r="M5" s="845"/>
      <c r="N5" s="845"/>
      <c r="O5" s="845"/>
      <c r="P5" s="845"/>
      <c r="Q5" s="845"/>
      <c r="R5" s="845"/>
      <c r="S5" s="845"/>
      <c r="T5" s="845"/>
      <c r="U5" s="845"/>
      <c r="V5" s="845"/>
      <c r="W5" s="845"/>
      <c r="X5" s="845"/>
      <c r="Y5" s="1002"/>
      <c r="Z5" s="848"/>
      <c r="AA5" s="851"/>
      <c r="AB5" s="848"/>
      <c r="AC5" s="848"/>
      <c r="AD5" s="848"/>
    </row>
    <row customHeight="1" ht="9">
      <c r="A6" s="847"/>
      <c r="B6" s="847"/>
      <c r="C6" s="845"/>
      <c r="D6" s="845"/>
      <c r="E6" s="845"/>
      <c r="F6" s="845"/>
      <c r="G6" s="845"/>
      <c r="H6" s="845"/>
      <c r="I6" s="845"/>
      <c r="J6" s="845"/>
      <c r="K6" s="845"/>
      <c r="L6" s="845"/>
      <c r="M6" s="845"/>
      <c r="N6" s="845"/>
      <c r="O6" s="845"/>
      <c r="P6" s="845"/>
      <c r="Q6" s="845"/>
      <c r="R6" s="845"/>
      <c r="S6" s="845"/>
      <c r="T6" s="845"/>
      <c r="U6" s="845"/>
      <c r="V6" s="845"/>
      <c r="W6" s="845"/>
      <c r="X6" s="845"/>
      <c r="Y6" s="1002"/>
      <c r="Z6" s="848"/>
      <c r="AA6" s="851"/>
      <c r="AB6" s="848"/>
      <c r="AC6" s="848"/>
      <c r="AD6" s="848"/>
    </row>
    <row customHeight="1" ht="9">
      <c r="A7" s="847"/>
      <c r="B7" s="847"/>
      <c r="C7" s="845"/>
      <c r="D7" s="845"/>
      <c r="E7" s="845"/>
      <c r="F7" s="845"/>
      <c r="G7" s="845"/>
      <c r="H7" s="845"/>
      <c r="I7" s="845"/>
      <c r="J7" s="845"/>
      <c r="K7" s="845"/>
      <c r="L7" s="845"/>
      <c r="M7" s="845"/>
      <c r="N7" s="845"/>
      <c r="O7" s="845"/>
      <c r="P7" s="845"/>
      <c r="Q7" s="845"/>
      <c r="R7" s="845"/>
      <c r="S7" s="845"/>
      <c r="T7" s="845"/>
      <c r="U7" s="845"/>
      <c r="V7" s="845"/>
      <c r="W7" s="845"/>
      <c r="X7" s="845"/>
      <c r="Y7" s="1002"/>
      <c r="Z7" s="848"/>
      <c r="AA7" s="851"/>
      <c r="AB7" s="848"/>
      <c r="AC7" s="848"/>
      <c r="AD7" s="848"/>
    </row>
    <row customHeight="1" ht="9">
      <c r="A8" s="847"/>
      <c r="B8" s="847"/>
      <c r="C8" s="845"/>
      <c r="D8" s="845"/>
      <c r="E8" s="845"/>
      <c r="F8" s="845"/>
      <c r="G8" s="845"/>
      <c r="H8" s="845"/>
      <c r="I8" s="845"/>
      <c r="J8" s="845"/>
      <c r="K8" s="845"/>
      <c r="L8" s="845"/>
      <c r="M8" s="845"/>
      <c r="N8" s="845"/>
      <c r="O8" s="845"/>
      <c r="P8" s="845"/>
      <c r="Q8" s="845"/>
      <c r="R8" s="845"/>
      <c r="S8" s="845"/>
      <c r="T8" s="845"/>
      <c r="U8" s="845"/>
      <c r="V8" s="845"/>
      <c r="W8" s="845"/>
      <c r="X8" s="845"/>
      <c r="Y8" s="1002"/>
      <c r="Z8" s="848"/>
      <c r="AA8" s="851"/>
      <c r="AB8" s="848"/>
      <c r="AC8" s="848"/>
      <c r="AD8" s="848"/>
    </row>
    <row customHeight="1" ht="9">
      <c r="A9" s="847"/>
      <c r="B9" s="847"/>
      <c r="C9" s="845"/>
      <c r="D9" s="845"/>
      <c r="E9" s="845"/>
      <c r="F9" s="845"/>
      <c r="G9" s="845"/>
      <c r="H9" s="845"/>
      <c r="I9" s="845"/>
      <c r="J9" s="845"/>
      <c r="K9" s="845"/>
      <c r="L9" s="845"/>
      <c r="M9" s="845"/>
      <c r="N9" s="845"/>
      <c r="O9" s="845"/>
      <c r="P9" s="845"/>
      <c r="Q9" s="845"/>
      <c r="R9" s="845"/>
      <c r="S9" s="845"/>
      <c r="T9" s="845"/>
      <c r="U9" s="845"/>
      <c r="V9" s="845"/>
      <c r="W9" s="845"/>
      <c r="X9" s="845"/>
      <c r="Y9" s="1002"/>
      <c r="Z9" s="848"/>
      <c r="AA9" s="851"/>
      <c r="AB9" s="848"/>
      <c r="AC9" s="848"/>
      <c r="AD9" s="848"/>
    </row>
    <row customHeight="1" ht="9">
      <c r="A10" s="901"/>
      <c r="B10" s="901"/>
      <c r="C10" s="901"/>
      <c r="D10" s="901"/>
      <c r="E10" s="901"/>
      <c r="F10" s="901"/>
      <c r="G10" s="901"/>
      <c r="H10" s="901"/>
      <c r="I10" s="901"/>
      <c r="J10" s="901"/>
      <c r="K10" s="901"/>
      <c r="L10" s="901"/>
      <c r="M10" s="901"/>
      <c r="N10" s="901"/>
      <c r="O10" s="901"/>
      <c r="P10" s="901"/>
      <c r="Q10" s="901"/>
      <c r="R10" s="901"/>
      <c r="S10" s="901"/>
      <c r="T10" s="901"/>
      <c r="U10" s="901"/>
      <c r="V10" s="901"/>
      <c r="W10" s="901"/>
      <c r="X10" s="901"/>
      <c r="Y10" s="901"/>
      <c r="Z10" s="901"/>
      <c r="AA10" s="901"/>
      <c r="AB10" s="901"/>
      <c r="AC10" s="901"/>
      <c r="AD10" s="901"/>
    </row>
    <row customHeight="1" ht="45">
      <c r="A11" s="2595" t="s">
        <v>33</v>
      </c>
      <c r="B11" s="901">
        <v>1</v>
      </c>
      <c r="C11" s="2601" t="s">
        <v>1556</v>
      </c>
      <c r="D11" s="2601" t="s">
        <v>1552</v>
      </c>
      <c r="E11" s="2601" t="s">
        <v>1650</v>
      </c>
      <c r="F11" s="2601" t="s">
        <v>2020</v>
      </c>
      <c r="G11" s="2601"/>
      <c r="H11" s="900" t="s">
        <v>2021</v>
      </c>
      <c r="I11" s="900"/>
      <c r="J11" s="900"/>
      <c r="K11" s="900"/>
      <c r="L11" s="900"/>
      <c r="M11" s="846" t="str">
        <f>IF(TEMPLATE_SPHERE="HEAT",T11,U11)</f>
        <v>Количество поданных заявок</v>
      </c>
      <c r="N11" s="846"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5"/>
      <c r="P11" s="845"/>
      <c r="Q11" s="845"/>
      <c r="R11" s="845"/>
      <c r="S11" s="845"/>
      <c r="T11" s="845" t="s">
        <v>2022</v>
      </c>
      <c r="U11" s="845" t="s">
        <v>2023</v>
      </c>
      <c r="V11" s="845"/>
      <c r="W11" s="845"/>
      <c r="X11" s="845"/>
      <c r="Y11" s="1002"/>
      <c r="Z11" s="848" t="s">
        <v>2024</v>
      </c>
      <c r="AA11" s="85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8"/>
      <c r="AC11" s="848"/>
      <c r="AD11" s="848"/>
    </row>
    <row customHeight="1" ht="45">
      <c r="A12" s="2595"/>
      <c r="B12" s="901">
        <v>2</v>
      </c>
      <c r="C12" s="2602"/>
      <c r="D12" s="2602"/>
      <c r="E12" s="2602"/>
      <c r="F12" s="2602"/>
      <c r="G12" s="2602"/>
      <c r="H12" s="900" t="s">
        <v>2025</v>
      </c>
      <c r="I12" s="900"/>
      <c r="J12" s="900"/>
      <c r="K12" s="900"/>
      <c r="L12" s="900"/>
      <c r="M12" s="846" t="str">
        <f>IF(TEMPLATE_SPHERE="HEAT",T12,U12)</f>
        <v>Количество рассмотренных заявок</v>
      </c>
      <c r="N12" s="846"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5"/>
      <c r="P12" s="845"/>
      <c r="Q12" s="845"/>
      <c r="R12" s="845"/>
      <c r="S12" s="845"/>
      <c r="T12" s="845" t="s">
        <v>2026</v>
      </c>
      <c r="U12" s="845" t="s">
        <v>2027</v>
      </c>
      <c r="V12" s="845"/>
      <c r="W12" s="845"/>
      <c r="X12" s="845"/>
      <c r="Y12" s="1002"/>
      <c r="Z12" s="848" t="s">
        <v>2028</v>
      </c>
      <c r="AA12" s="85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8"/>
      <c r="AC12" s="848"/>
      <c r="AD12" s="848"/>
    </row>
    <row customHeight="1" ht="72">
      <c r="A13" s="2595"/>
      <c r="B13" s="901">
        <v>3</v>
      </c>
      <c r="C13" s="2602"/>
      <c r="D13" s="2602"/>
      <c r="E13" s="2602"/>
      <c r="F13" s="2602"/>
      <c r="G13" s="2602"/>
      <c r="H13" s="2594" t="s">
        <v>2029</v>
      </c>
      <c r="I13" s="900"/>
      <c r="J13" s="900"/>
      <c r="K13" s="900"/>
      <c r="L13" s="900"/>
      <c r="M13" s="846"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6" t="str">
        <f>IF(TEMPLATE_SPHERE="HEAT",Z13,AA13)</f>
        <v>Указывается количество заявок с решением об отказе в течение отчетного квартала.</v>
      </c>
      <c r="O13" s="845"/>
      <c r="P13" s="846"/>
      <c r="Q13" s="846"/>
      <c r="R13" s="846"/>
      <c r="S13" s="845"/>
      <c r="T13" s="845" t="s">
        <v>2030</v>
      </c>
      <c r="U13" s="846" t="s">
        <v>2031</v>
      </c>
      <c r="V13" s="846"/>
      <c r="W13" s="846"/>
      <c r="X13" s="845"/>
      <c r="Y13" s="1002"/>
      <c r="Z13" s="848" t="s">
        <v>2032</v>
      </c>
      <c r="AA13" s="85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8"/>
      <c r="AC13" s="848"/>
      <c r="AD13" s="848"/>
    </row>
    <row customHeight="1" ht="45">
      <c r="A14" s="2595"/>
      <c r="B14" s="901">
        <v>4</v>
      </c>
      <c r="C14" s="2602"/>
      <c r="D14" s="2602"/>
      <c r="E14" s="2602"/>
      <c r="F14" s="2602"/>
      <c r="G14" s="2602"/>
      <c r="H14" s="2594"/>
      <c r="I14" s="903"/>
      <c r="J14" s="903"/>
      <c r="K14" s="903"/>
      <c r="L14" s="903"/>
      <c r="M14" s="849" t="str">
        <f>IF(TEMPLATE_SPHERE="HEAT",T14,U14)</f>
        <v>Причины отказа в заключении договора о подключении (технологическом присоединении) к системе теплоснабжения</v>
      </c>
      <c r="N14" s="846"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5"/>
      <c r="P14" s="846"/>
      <c r="Q14" s="846"/>
      <c r="R14" s="846"/>
      <c r="S14" s="845"/>
      <c r="T14" s="845" t="s">
        <v>2033</v>
      </c>
      <c r="U14" s="84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6"/>
      <c r="W14" s="846"/>
      <c r="X14" s="845"/>
      <c r="Y14" s="1002"/>
      <c r="Z14" s="848" t="s">
        <v>2034</v>
      </c>
      <c r="AA14" s="851" t="s">
        <v>2034</v>
      </c>
      <c r="AB14" s="848"/>
      <c r="AC14" s="848"/>
      <c r="AD14" s="848"/>
    </row>
    <row customHeight="1" ht="108">
      <c r="A15" s="2595"/>
      <c r="B15" s="901">
        <v>5</v>
      </c>
      <c r="C15" s="2602"/>
      <c r="D15" s="2602"/>
      <c r="E15" s="2602"/>
      <c r="F15" s="2602"/>
      <c r="G15" s="2602"/>
      <c r="H15" s="2596" t="s">
        <v>2035</v>
      </c>
      <c r="I15" s="902"/>
      <c r="J15" s="902"/>
      <c r="K15" s="902"/>
      <c r="L15" s="902"/>
      <c r="M15" s="851" t="str">
        <f>IF(TEMPLATE_SPHERE="HEAT",T15,U15)</f>
        <v>Резерв мощности источников тепловой энергии, входящих в систему теплоснабжения, в течение одного квартала, в том числе:</v>
      </c>
      <c r="N15" s="850"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5"/>
      <c r="P15" s="846"/>
      <c r="Q15" s="846"/>
      <c r="R15" s="846"/>
      <c r="S15" s="845"/>
      <c r="T15" s="845" t="s">
        <v>2036</v>
      </c>
      <c r="U15" s="84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6"/>
      <c r="W15" s="846"/>
      <c r="X15" s="845"/>
      <c r="Y15" s="1002"/>
      <c r="Z15" s="848" t="s">
        <v>2037</v>
      </c>
      <c r="AA15" s="85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8"/>
      <c r="AC15" s="848"/>
      <c r="AD15" s="848"/>
    </row>
    <row customHeight="1" ht="108">
      <c r="A16" s="901"/>
      <c r="B16" s="901">
        <v>6</v>
      </c>
      <c r="C16" s="2603"/>
      <c r="D16" s="2603"/>
      <c r="E16" s="2603"/>
      <c r="F16" s="2603"/>
      <c r="G16" s="2603"/>
      <c r="H16" s="2597"/>
      <c r="I16" s="964"/>
      <c r="J16" s="964"/>
      <c r="K16" s="964"/>
      <c r="L16" s="964"/>
      <c r="M16" s="894"/>
      <c r="N16" s="850"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5"/>
      <c r="P16" s="846"/>
      <c r="Q16" s="846"/>
      <c r="R16" s="846"/>
      <c r="S16" s="845"/>
      <c r="T16" s="845"/>
      <c r="U16" s="846"/>
      <c r="V16" s="846"/>
      <c r="W16" s="846"/>
      <c r="X16" s="845"/>
      <c r="Y16" s="1002"/>
      <c r="Z16" s="848" t="s">
        <v>2037</v>
      </c>
      <c r="AA16" s="85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8"/>
      <c r="AC16" s="848"/>
      <c r="AD16" s="848"/>
    </row>
    <row customHeight="1" ht="9">
      <c r="A17" s="901"/>
      <c r="B17" s="901"/>
      <c r="C17" s="901">
        <v>22</v>
      </c>
      <c r="D17" s="901">
        <v>21</v>
      </c>
      <c r="E17" s="901">
        <v>42</v>
      </c>
      <c r="F17" s="901">
        <v>63</v>
      </c>
      <c r="G17" s="901"/>
      <c r="H17" s="901"/>
      <c r="I17" s="901"/>
      <c r="J17" s="901"/>
      <c r="K17" s="901"/>
      <c r="L17" s="901"/>
      <c r="M17" s="901"/>
      <c r="N17" s="901"/>
      <c r="O17" s="901"/>
      <c r="P17" s="901"/>
      <c r="Q17" s="901"/>
      <c r="R17" s="901"/>
      <c r="S17" s="901"/>
      <c r="T17" s="901"/>
      <c r="U17" s="901"/>
      <c r="V17" s="901"/>
      <c r="W17" s="901"/>
      <c r="X17" s="901"/>
      <c r="Y17" s="901"/>
      <c r="Z17" s="901"/>
      <c r="AA17" s="901"/>
      <c r="AB17" s="901"/>
      <c r="AC17" s="901"/>
      <c r="AD17" s="901"/>
    </row>
    <row customHeight="1" ht="27">
      <c r="A18" s="847" t="s">
        <v>1653</v>
      </c>
      <c r="B18" s="901">
        <v>1</v>
      </c>
      <c r="C18" s="845" t="s">
        <v>2021</v>
      </c>
      <c r="D18" s="969" t="s">
        <v>2021</v>
      </c>
      <c r="E18" s="845" t="s">
        <v>2021</v>
      </c>
      <c r="F18" s="845" t="s">
        <v>2021</v>
      </c>
      <c r="G18" s="845"/>
      <c r="H18" s="1004"/>
      <c r="I18" s="1007">
        <f>INDEX(TEMPLATE_NUMBER_POINT_FHD,B18,MATCH(TEMPLATE_SPHERE,TEMPLATE_SPHERE_LIST_FOR_NOTE,0))</f>
        <v>1</v>
      </c>
      <c r="J18" s="1007" t="str">
        <f>INDEX(TEMPLATE_DATA_POINT_FHD,B18,MATCH(TEMPLATE_SPHERE,TEMPLATE_SPHERE_LIST_FOR_NOTE,0))</f>
        <v>Выручка от регулируемого вида деятельности с распределением по видам деятельности</v>
      </c>
      <c r="K18" s="1007"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6">
        <f>IF(I18=0,"",I18)</f>
        <v>1</v>
      </c>
      <c r="M18" s="846" t="str">
        <f>IF(J18=0,"",J18)</f>
        <v>Выручка от регулируемого вида деятельности с распределением по видам деятельности</v>
      </c>
      <c r="N18" s="846" t="str">
        <f>IF(K18=0,"",K18)</f>
        <v>Указывается выручка от регулируемого вида деятельности с распределением по видам деятельности.</v>
      </c>
      <c r="O18" s="959">
        <v>1</v>
      </c>
      <c r="P18" s="959">
        <v>1</v>
      </c>
      <c r="Q18" s="959">
        <v>1</v>
      </c>
      <c r="R18" s="959">
        <v>1</v>
      </c>
      <c r="S18" s="959"/>
      <c r="T18" s="966" t="s">
        <v>2038</v>
      </c>
      <c r="U18" s="848" t="s">
        <v>2039</v>
      </c>
      <c r="V18" s="848" t="s">
        <v>2040</v>
      </c>
      <c r="W18" s="848" t="s">
        <v>2041</v>
      </c>
      <c r="X18" s="845"/>
      <c r="Y18" s="1002"/>
      <c r="Z18" s="848" t="s">
        <v>2042</v>
      </c>
      <c r="AA18" s="851" t="s">
        <v>2043</v>
      </c>
      <c r="AB18" s="851" t="s">
        <v>2043</v>
      </c>
      <c r="AC18" s="851" t="s">
        <v>2043</v>
      </c>
      <c r="AD18" s="848"/>
    </row>
    <row customHeight="1" ht="36">
      <c r="A19" s="847"/>
      <c r="B19" s="901">
        <v>2</v>
      </c>
      <c r="C19" s="845" t="s">
        <v>2025</v>
      </c>
      <c r="D19" s="969" t="s">
        <v>2025</v>
      </c>
      <c r="E19" s="845" t="s">
        <v>2025</v>
      </c>
      <c r="F19" s="845" t="s">
        <v>2025</v>
      </c>
      <c r="G19" s="845"/>
      <c r="H19" s="1004"/>
      <c r="I19" s="1007">
        <f>INDEX(TEMPLATE_NUMBER_POINT_FHD,B19,MATCH(TEMPLATE_SPHERE,TEMPLATE_SPHERE_LIST_FOR_NOTE,0))</f>
        <v>2</v>
      </c>
      <c r="J19" s="1007"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7" t="str">
        <f>INDEX(TEMPLATE_NOTE_POINT_FHD,B19,MATCH(TEMPLATE_SPHERE,TEMPLATE_SPHERE_LIST_FOR_NOTE,0))</f>
        <v>Указывается суммарная себестоимость производимых товаров.</v>
      </c>
      <c r="L19" s="846">
        <f>IF(I19=0,"",I19)</f>
        <v>2</v>
      </c>
      <c r="M19" s="846" t="str">
        <f>IF(J19=0,"",J19)</f>
        <v>Себестоимость производимых товаров (оказываемых услуг) по регулируемому виду деятельности, включая:</v>
      </c>
      <c r="N19" s="846" t="str">
        <f>IF(K19=0,"",K19)</f>
        <v>Указывается суммарная себестоимость производимых товаров.</v>
      </c>
      <c r="O19" s="959">
        <v>2</v>
      </c>
      <c r="P19" s="959">
        <v>2</v>
      </c>
      <c r="Q19" s="959">
        <v>2</v>
      </c>
      <c r="R19" s="959">
        <v>2</v>
      </c>
      <c r="S19" s="959"/>
      <c r="T19" s="966" t="s">
        <v>2044</v>
      </c>
      <c r="U19" s="848" t="s">
        <v>2045</v>
      </c>
      <c r="V19" s="848" t="s">
        <v>2046</v>
      </c>
      <c r="W19" s="848" t="s">
        <v>2047</v>
      </c>
      <c r="X19" s="845"/>
      <c r="Y19" s="1002"/>
      <c r="Z19" s="848" t="s">
        <v>2048</v>
      </c>
      <c r="AA19" s="851" t="s">
        <v>2048</v>
      </c>
      <c r="AB19" s="851" t="s">
        <v>2048</v>
      </c>
      <c r="AC19" s="851" t="s">
        <v>2048</v>
      </c>
      <c r="AD19" s="848"/>
    </row>
    <row customHeight="1" ht="27">
      <c r="A20" s="847"/>
      <c r="B20" s="901">
        <v>3</v>
      </c>
      <c r="C20" s="845">
        <v>1</v>
      </c>
      <c r="D20" s="969"/>
      <c r="E20" s="845"/>
      <c r="F20" s="845"/>
      <c r="G20" s="845"/>
      <c r="H20" s="1004"/>
      <c r="I20" s="1007" t="str">
        <f>INDEX(TEMPLATE_NUMBER_POINT_FHD,B20,MATCH(TEMPLATE_SPHERE,TEMPLATE_SPHERE_LIST_FOR_NOTE,0))</f>
        <v>2.1</v>
      </c>
      <c r="J20" s="1007" t="str">
        <f>INDEX(TEMPLATE_DATA_POINT_FHD,B20,MATCH(TEMPLATE_SPHERE,TEMPLATE_SPHERE_LIST_FOR_NOTE,0))</f>
        <v>Расходы на приобретаемую тепловую энергию (мощность), теплоноситель</v>
      </c>
      <c r="K20" s="1007">
        <f>INDEX(TEMPLATE_NOTE_POINT_FHD,B20,MATCH(TEMPLATE_SPHERE,TEMPLATE_SPHERE_LIST_FOR_NOTE,0))</f>
        <v>0</v>
      </c>
      <c r="L20" s="846" t="str">
        <f>IF(I20=0,"",I20)</f>
        <v>2.1</v>
      </c>
      <c r="M20" s="846" t="str">
        <f>IF(J20=0,"",J20)</f>
        <v>Расходы на приобретаемую тепловую энергию (мощность), теплоноситель</v>
      </c>
      <c r="N20" s="846" t="str">
        <f>IF(K20=0,"",K20)</f>
        <v/>
      </c>
      <c r="O20" s="959" t="s">
        <v>709</v>
      </c>
      <c r="P20" s="959" t="s">
        <v>709</v>
      </c>
      <c r="Q20" s="959" t="s">
        <v>709</v>
      </c>
      <c r="R20" s="959" t="s">
        <v>709</v>
      </c>
      <c r="S20" s="959"/>
      <c r="T20" s="966" t="s">
        <v>2049</v>
      </c>
      <c r="U20" s="848" t="s">
        <v>2050</v>
      </c>
      <c r="V20" s="848" t="s">
        <v>2051</v>
      </c>
      <c r="W20" s="848" t="s">
        <v>2052</v>
      </c>
      <c r="X20" s="845"/>
      <c r="Y20" s="1002"/>
      <c r="Z20" s="848"/>
      <c r="AA20" s="851"/>
      <c r="AB20" s="848"/>
      <c r="AC20" s="848"/>
      <c r="AD20" s="848"/>
    </row>
    <row customHeight="1" ht="36">
      <c r="A21" s="847"/>
      <c r="B21" s="901">
        <v>4</v>
      </c>
      <c r="C21" s="845">
        <v>2</v>
      </c>
      <c r="D21" s="969"/>
      <c r="E21" s="845"/>
      <c r="F21" s="845"/>
      <c r="G21" s="845"/>
      <c r="H21" s="1004"/>
      <c r="I21" s="1007" t="str">
        <f>INDEX(TEMPLATE_NUMBER_POINT_FHD,B21,MATCH(TEMPLATE_SPHERE,TEMPLATE_SPHERE_LIST_FOR_NOTE,0))</f>
        <v>2.2</v>
      </c>
      <c r="J21" s="1007"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7" t="str">
        <f>INDEX(TEMPLATE_NOTE_POINT_FHD,B21,MATCH(TEMPLATE_SPHERE,TEMPLATE_SPHERE_LIST_FOR_NOTE,0))</f>
        <v>Указываются суммарные расходы на приобретение топлива всех видов.</v>
      </c>
      <c r="L21" s="846" t="str">
        <f>IF(I21=0,"",I21)</f>
        <v>2.2</v>
      </c>
      <c r="M21" s="846"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6" t="str">
        <f>IF(K21=0,"",K21)</f>
        <v>Указываются суммарные расходы на приобретение топлива всех видов.</v>
      </c>
      <c r="O21" s="959" t="s">
        <v>307</v>
      </c>
      <c r="P21" s="959"/>
      <c r="Q21" s="959"/>
      <c r="R21" s="959"/>
      <c r="S21" s="959"/>
      <c r="T21" s="966" t="s">
        <v>2053</v>
      </c>
      <c r="U21" s="848"/>
      <c r="V21" s="848"/>
      <c r="W21" s="848"/>
      <c r="X21" s="845"/>
      <c r="Y21" s="1002"/>
      <c r="Z21" s="848" t="s">
        <v>2054</v>
      </c>
      <c r="AA21" s="851"/>
      <c r="AB21" s="848"/>
      <c r="AC21" s="848"/>
      <c r="AD21" s="848"/>
    </row>
    <row customHeight="1" ht="36">
      <c r="A22" s="847"/>
      <c r="B22" s="901">
        <v>5</v>
      </c>
      <c r="C22" s="845">
        <v>3</v>
      </c>
      <c r="D22" s="969"/>
      <c r="E22" s="845"/>
      <c r="F22" s="845"/>
      <c r="G22" s="893"/>
      <c r="H22" s="960"/>
      <c r="I22" s="1007">
        <f>INDEX(TEMPLATE_NUMBER_POINT_FHD,B22,MATCH(TEMPLATE_SPHERE,TEMPLATE_SPHERE_LIST_FOR_NOTE,0))</f>
        <v>0</v>
      </c>
      <c r="J22" s="1007">
        <f>INDEX(TEMPLATE_DATA_POINT_FHD,B22,MATCH(TEMPLATE_SPHERE,TEMPLATE_SPHERE_LIST_FOR_NOTE,0))</f>
        <v>0</v>
      </c>
      <c r="K22" s="1007">
        <f>INDEX(TEMPLATE_NOTE_POINT_FHD,B22,MATCH(TEMPLATE_SPHERE,TEMPLATE_SPHERE_LIST_FOR_NOTE,0))</f>
        <v>0</v>
      </c>
      <c r="L22" s="846" t="str">
        <f>IF(I22=0,"",I22)</f>
        <v/>
      </c>
      <c r="M22" s="846" t="str">
        <f>IF(J22=0,"",J22)</f>
        <v/>
      </c>
      <c r="N22" s="846" t="str">
        <f>IF(K22=0,"",K22)</f>
        <v/>
      </c>
      <c r="O22" s="959"/>
      <c r="P22" s="959"/>
      <c r="Q22" s="959" t="s">
        <v>307</v>
      </c>
      <c r="R22" s="959"/>
      <c r="S22" s="959"/>
      <c r="T22" s="966"/>
      <c r="U22" s="848"/>
      <c r="V22" s="848" t="s">
        <v>2055</v>
      </c>
      <c r="W22" s="848"/>
      <c r="X22" s="845"/>
      <c r="Y22" s="1002"/>
      <c r="Z22" s="848"/>
      <c r="AA22" s="851"/>
      <c r="AB22" s="848"/>
      <c r="AC22" s="848"/>
      <c r="AD22" s="848"/>
    </row>
    <row customHeight="1" ht="27">
      <c r="A23" s="847"/>
      <c r="B23" s="901">
        <v>6</v>
      </c>
      <c r="C23" s="845">
        <v>4</v>
      </c>
      <c r="D23" s="969"/>
      <c r="E23" s="845"/>
      <c r="F23" s="845"/>
      <c r="G23" s="893"/>
      <c r="H23" s="960"/>
      <c r="I23" s="1007">
        <f>INDEX(TEMPLATE_NUMBER_POINT_FHD,B23,MATCH(TEMPLATE_SPHERE,TEMPLATE_SPHERE_LIST_FOR_NOTE,0))</f>
        <v>0</v>
      </c>
      <c r="J23" s="1007">
        <f>INDEX(TEMPLATE_DATA_POINT_FHD,B23,MATCH(TEMPLATE_SPHERE,TEMPLATE_SPHERE_LIST_FOR_NOTE,0))</f>
        <v>0</v>
      </c>
      <c r="K23" s="1007">
        <f>INDEX(TEMPLATE_NOTE_POINT_FHD,B23,MATCH(TEMPLATE_SPHERE,TEMPLATE_SPHERE_LIST_FOR_NOTE,0))</f>
        <v>0</v>
      </c>
      <c r="L23" s="846" t="str">
        <f>IF(I23=0,"",I23)</f>
        <v/>
      </c>
      <c r="M23" s="846" t="str">
        <f>IF(J23=0,"",J23)</f>
        <v/>
      </c>
      <c r="N23" s="846" t="str">
        <f>IF(K23=0,"",K23)</f>
        <v/>
      </c>
      <c r="O23" s="959"/>
      <c r="P23" s="959"/>
      <c r="Q23" s="959" t="s">
        <v>310</v>
      </c>
      <c r="R23" s="959"/>
      <c r="S23" s="959"/>
      <c r="T23" s="966"/>
      <c r="U23" s="848"/>
      <c r="V23" s="848" t="s">
        <v>2056</v>
      </c>
      <c r="W23" s="848"/>
      <c r="X23" s="845"/>
      <c r="Y23" s="1002"/>
      <c r="Z23" s="848"/>
      <c r="AA23" s="851"/>
      <c r="AB23" s="848"/>
      <c r="AC23" s="848"/>
      <c r="AD23" s="848"/>
    </row>
    <row customHeight="1" ht="36">
      <c r="A24" s="847"/>
      <c r="B24" s="901">
        <v>7</v>
      </c>
      <c r="C24" s="845">
        <v>5</v>
      </c>
      <c r="D24" s="969"/>
      <c r="E24" s="845"/>
      <c r="F24" s="845"/>
      <c r="G24" s="893"/>
      <c r="H24" s="960"/>
      <c r="I24" s="1007">
        <f>INDEX(TEMPLATE_NUMBER_POINT_FHD,B24,MATCH(TEMPLATE_SPHERE,TEMPLATE_SPHERE_LIST_FOR_NOTE,0))</f>
        <v>0</v>
      </c>
      <c r="J24" s="1007">
        <f>INDEX(TEMPLATE_DATA_POINT_FHD,B24,MATCH(TEMPLATE_SPHERE,TEMPLATE_SPHERE_LIST_FOR_NOTE,0))</f>
        <v>0</v>
      </c>
      <c r="K24" s="1007">
        <f>INDEX(TEMPLATE_NOTE_POINT_FHD,B24,MATCH(TEMPLATE_SPHERE,TEMPLATE_SPHERE_LIST_FOR_NOTE,0))</f>
        <v>0</v>
      </c>
      <c r="L24" s="846" t="str">
        <f>IF(I24=0,"",I24)</f>
        <v/>
      </c>
      <c r="M24" s="846" t="str">
        <f>IF(J24=0,"",J24)</f>
        <v/>
      </c>
      <c r="N24" s="846" t="str">
        <f>IF(K24=0,"",K24)</f>
        <v/>
      </c>
      <c r="O24" s="959"/>
      <c r="P24" s="959"/>
      <c r="Q24" s="959" t="s">
        <v>729</v>
      </c>
      <c r="R24" s="959"/>
      <c r="S24" s="959"/>
      <c r="T24" s="966"/>
      <c r="U24" s="848"/>
      <c r="V24" s="848" t="s">
        <v>2057</v>
      </c>
      <c r="W24" s="848"/>
      <c r="X24" s="845"/>
      <c r="Y24" s="1002"/>
      <c r="Z24" s="848"/>
      <c r="AA24" s="851"/>
      <c r="AB24" s="848"/>
      <c r="AC24" s="848"/>
      <c r="AD24" s="848"/>
    </row>
    <row customHeight="1" ht="36">
      <c r="A25" s="847"/>
      <c r="B25" s="901">
        <v>8</v>
      </c>
      <c r="C25" s="845">
        <v>6</v>
      </c>
      <c r="D25" s="969"/>
      <c r="E25" s="845"/>
      <c r="F25" s="845"/>
      <c r="G25" s="893"/>
      <c r="H25" s="960"/>
      <c r="I25" s="1007" t="str">
        <f>INDEX(TEMPLATE_NUMBER_POINT_FHD,B25,MATCH(TEMPLATE_SPHERE,TEMPLATE_SPHERE_LIST_FOR_NOTE,0))</f>
        <v>2.3</v>
      </c>
      <c r="J25" s="1007"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7">
        <f>INDEX(TEMPLATE_NOTE_POINT_FHD,B25,MATCH(TEMPLATE_SPHERE,TEMPLATE_SPHERE_LIST_FOR_NOTE,0))</f>
        <v>0</v>
      </c>
      <c r="L25" s="846" t="str">
        <f>IF(I25=0,"",I25)</f>
        <v>2.3</v>
      </c>
      <c r="M25" s="846" t="str">
        <f>IF(J25=0,"",J25)</f>
        <v>Расходы на приобретаемую электрическую энергию (мощность), используемую в технологическом процессе</v>
      </c>
      <c r="N25" s="846" t="str">
        <f>IF(K25=0,"",K25)</f>
        <v/>
      </c>
      <c r="O25" s="959" t="s">
        <v>310</v>
      </c>
      <c r="P25" s="959" t="s">
        <v>307</v>
      </c>
      <c r="Q25" s="959" t="s">
        <v>736</v>
      </c>
      <c r="R25" s="959" t="s">
        <v>307</v>
      </c>
      <c r="S25" s="959"/>
      <c r="T25" s="966" t="s">
        <v>2058</v>
      </c>
      <c r="U25" s="848" t="s">
        <v>2058</v>
      </c>
      <c r="V25" s="848" t="s">
        <v>2058</v>
      </c>
      <c r="W25" s="848" t="s">
        <v>2058</v>
      </c>
      <c r="X25" s="845"/>
      <c r="Y25" s="1002"/>
      <c r="Z25" s="848"/>
      <c r="AA25" s="851"/>
      <c r="AB25" s="848"/>
      <c r="AC25" s="848"/>
      <c r="AD25" s="848"/>
    </row>
    <row customHeight="1" ht="18">
      <c r="A26" s="847"/>
      <c r="B26" s="901">
        <v>9</v>
      </c>
      <c r="C26" s="845" t="s">
        <v>652</v>
      </c>
      <c r="D26" s="969"/>
      <c r="E26" s="845"/>
      <c r="F26" s="845"/>
      <c r="G26" s="893"/>
      <c r="H26" s="960"/>
      <c r="I26" s="1007" t="str">
        <f>INDEX(TEMPLATE_NUMBER_POINT_FHD,B26,MATCH(TEMPLATE_SPHERE,TEMPLATE_SPHERE_LIST_FOR_NOTE,0))</f>
        <v>2.3.1</v>
      </c>
      <c r="J26" s="1007" t="str">
        <f>INDEX(TEMPLATE_DATA_POINT_FHD,B26,MATCH(TEMPLATE_SPHERE,TEMPLATE_SPHERE_LIST_FOR_NOTE,0))</f>
        <v>Средневзвешенная стоимость 1 кВт.ч (с учетом мощности)</v>
      </c>
      <c r="K26" s="1007">
        <f>INDEX(TEMPLATE_NOTE_POINT_FHD,B26,MATCH(TEMPLATE_SPHERE,TEMPLATE_SPHERE_LIST_FOR_NOTE,0))</f>
        <v>0</v>
      </c>
      <c r="L26" s="846" t="str">
        <f>IF(I26=0,"",I26)</f>
        <v>2.3.1</v>
      </c>
      <c r="M26" s="846" t="str">
        <f>IF(J26=0,"",J26)</f>
        <v>Средневзвешенная стоимость 1 кВт.ч (с учетом мощности)</v>
      </c>
      <c r="N26" s="846" t="str">
        <f>IF(K26=0,"",K26)</f>
        <v/>
      </c>
      <c r="O26" s="959" t="s">
        <v>725</v>
      </c>
      <c r="P26" s="959" t="s">
        <v>719</v>
      </c>
      <c r="Q26" s="959" t="s">
        <v>2059</v>
      </c>
      <c r="R26" s="959" t="s">
        <v>719</v>
      </c>
      <c r="S26" s="959"/>
      <c r="T26" s="966"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6" t="s">
        <v>2060</v>
      </c>
      <c r="V26" s="966" t="s">
        <v>2060</v>
      </c>
      <c r="W26" s="966" t="s">
        <v>2060</v>
      </c>
      <c r="X26" s="845"/>
      <c r="Y26" s="1002"/>
      <c r="Z26" s="848"/>
      <c r="AA26" s="851"/>
      <c r="AB26" s="848"/>
      <c r="AC26" s="848"/>
      <c r="AD26" s="848"/>
    </row>
    <row customHeight="1" ht="18">
      <c r="A27" s="847"/>
      <c r="B27" s="901">
        <v>10</v>
      </c>
      <c r="C27" s="845" t="s">
        <v>656</v>
      </c>
      <c r="D27" s="969"/>
      <c r="E27" s="845"/>
      <c r="F27" s="845"/>
      <c r="G27" s="893"/>
      <c r="H27" s="960"/>
      <c r="I27" s="1007" t="str">
        <f>INDEX(TEMPLATE_NUMBER_POINT_FHD,B27,MATCH(TEMPLATE_SPHERE,TEMPLATE_SPHERE_LIST_FOR_NOTE,0))</f>
        <v>2.3.2</v>
      </c>
      <c r="J27" s="1007" t="str">
        <f>INDEX(TEMPLATE_DATA_POINT_FHD,B27,MATCH(TEMPLATE_SPHERE,TEMPLATE_SPHERE_LIST_FOR_NOTE,0))</f>
        <v>Объём приобретения электрической энергии</v>
      </c>
      <c r="K27" s="1007">
        <f>INDEX(TEMPLATE_NOTE_POINT_FHD,B27,MATCH(TEMPLATE_SPHERE,TEMPLATE_SPHERE_LIST_FOR_NOTE,0))</f>
        <v>0</v>
      </c>
      <c r="L27" s="846" t="str">
        <f>IF(I27=0,"",I27)</f>
        <v>2.3.2</v>
      </c>
      <c r="M27" s="846" t="str">
        <f>IF(J27=0,"",J27)</f>
        <v>Объём приобретения электрической энергии</v>
      </c>
      <c r="N27" s="846" t="str">
        <f>IF(K27=0,"",K27)</f>
        <v/>
      </c>
      <c r="O27" s="959" t="s">
        <v>727</v>
      </c>
      <c r="P27" s="959" t="s">
        <v>721</v>
      </c>
      <c r="Q27" s="959" t="s">
        <v>2061</v>
      </c>
      <c r="R27" s="959" t="s">
        <v>721</v>
      </c>
      <c r="S27" s="959"/>
      <c r="T27" s="966" t="s">
        <v>2062</v>
      </c>
      <c r="U27" s="966" t="s">
        <v>2062</v>
      </c>
      <c r="V27" s="966" t="s">
        <v>2062</v>
      </c>
      <c r="W27" s="966" t="s">
        <v>2062</v>
      </c>
      <c r="X27" s="845"/>
      <c r="Y27" s="1002"/>
      <c r="Z27" s="848"/>
      <c r="AA27" s="851"/>
      <c r="AB27" s="848"/>
      <c r="AC27" s="848"/>
      <c r="AD27" s="848"/>
    </row>
    <row customHeight="1" ht="27">
      <c r="A28" s="847"/>
      <c r="B28" s="901">
        <v>11</v>
      </c>
      <c r="C28" s="845">
        <v>7</v>
      </c>
      <c r="D28" s="969"/>
      <c r="E28" s="845"/>
      <c r="F28" s="845"/>
      <c r="G28" s="893"/>
      <c r="H28" s="960"/>
      <c r="I28" s="1007" t="str">
        <f>INDEX(TEMPLATE_NUMBER_POINT_FHD,B28,MATCH(TEMPLATE_SPHERE,TEMPLATE_SPHERE_LIST_FOR_NOTE,0))</f>
        <v>2.4</v>
      </c>
      <c r="J28" s="1007" t="str">
        <f>INDEX(TEMPLATE_DATA_POINT_FHD,B28,MATCH(TEMPLATE_SPHERE,TEMPLATE_SPHERE_LIST_FOR_NOTE,0))</f>
        <v>Расходы на приобретение холодной воды, используемой в технологическом процессе</v>
      </c>
      <c r="K28" s="1007">
        <f>INDEX(TEMPLATE_NOTE_POINT_FHD,B28,MATCH(TEMPLATE_SPHERE,TEMPLATE_SPHERE_LIST_FOR_NOTE,0))</f>
        <v>0</v>
      </c>
      <c r="L28" s="846" t="str">
        <f>IF(I28=0,"",I28)</f>
        <v>2.4</v>
      </c>
      <c r="M28" s="846" t="str">
        <f>IF(J28=0,"",J28)</f>
        <v>Расходы на приобретение холодной воды, используемой в технологическом процессе</v>
      </c>
      <c r="N28" s="846" t="str">
        <f>IF(K28=0,"",K28)</f>
        <v/>
      </c>
      <c r="O28" s="959" t="s">
        <v>729</v>
      </c>
      <c r="P28" s="959"/>
      <c r="Q28" s="959"/>
      <c r="R28" s="959"/>
      <c r="S28" s="959"/>
      <c r="T28" s="966" t="s">
        <v>2063</v>
      </c>
      <c r="U28" s="848"/>
      <c r="V28" s="848"/>
      <c r="W28" s="848"/>
      <c r="X28" s="845"/>
      <c r="Y28" s="1002"/>
      <c r="Z28" s="848"/>
      <c r="AA28" s="851"/>
      <c r="AB28" s="848"/>
      <c r="AC28" s="848"/>
      <c r="AD28" s="848"/>
    </row>
    <row customHeight="1" ht="27">
      <c r="A29" s="847"/>
      <c r="B29" s="901">
        <v>12</v>
      </c>
      <c r="C29" s="845">
        <v>8</v>
      </c>
      <c r="D29" s="969"/>
      <c r="E29" s="845"/>
      <c r="F29" s="845"/>
      <c r="G29" s="893"/>
      <c r="H29" s="960"/>
      <c r="I29" s="1007" t="str">
        <f>INDEX(TEMPLATE_NUMBER_POINT_FHD,B29,MATCH(TEMPLATE_SPHERE,TEMPLATE_SPHERE_LIST_FOR_NOTE,0))</f>
        <v>2.5</v>
      </c>
      <c r="J29" s="1007" t="str">
        <f>INDEX(TEMPLATE_DATA_POINT_FHD,B29,MATCH(TEMPLATE_SPHERE,TEMPLATE_SPHERE_LIST_FOR_NOTE,0))</f>
        <v>Расходы на  химические реагенты, используемые в технологическом процессе</v>
      </c>
      <c r="K29" s="1007">
        <f>INDEX(TEMPLATE_NOTE_POINT_FHD,B29,MATCH(TEMPLATE_SPHERE,TEMPLATE_SPHERE_LIST_FOR_NOTE,0))</f>
        <v>0</v>
      </c>
      <c r="L29" s="846" t="str">
        <f>IF(I29=0,"",I29)</f>
        <v>2.5</v>
      </c>
      <c r="M29" s="846" t="str">
        <f>IF(J29=0,"",J29)</f>
        <v>Расходы на  химические реагенты, используемые в технологическом процессе</v>
      </c>
      <c r="N29" s="846" t="str">
        <f>IF(K29=0,"",K29)</f>
        <v/>
      </c>
      <c r="O29" s="959" t="s">
        <v>736</v>
      </c>
      <c r="P29" s="959" t="s">
        <v>310</v>
      </c>
      <c r="Q29" s="959"/>
      <c r="R29" s="959" t="s">
        <v>310</v>
      </c>
      <c r="S29" s="959"/>
      <c r="T29" s="966"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8" t="s">
        <v>2064</v>
      </c>
      <c r="V29" s="848"/>
      <c r="W29" s="848" t="s">
        <v>2064</v>
      </c>
      <c r="X29" s="845"/>
      <c r="Y29" s="1002"/>
      <c r="Z29" s="848"/>
      <c r="AA29" s="851"/>
      <c r="AB29" s="848"/>
      <c r="AC29" s="848"/>
      <c r="AD29" s="848"/>
    </row>
    <row customHeight="1" ht="54">
      <c r="A30" s="847"/>
      <c r="B30" s="901">
        <v>13</v>
      </c>
      <c r="C30" s="845">
        <v>9</v>
      </c>
      <c r="D30" s="969"/>
      <c r="E30" s="845"/>
      <c r="F30" s="845"/>
      <c r="G30" s="893"/>
      <c r="H30" s="960"/>
      <c r="I30" s="1007" t="str">
        <f>INDEX(TEMPLATE_NUMBER_POINT_FHD,B30,MATCH(TEMPLATE_SPHERE,TEMPLATE_SPHERE_LIST_FOR_NOTE,0))</f>
        <v>2.6</v>
      </c>
      <c r="J30" s="1007"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7">
        <f>INDEX(TEMPLATE_NOTE_POINT_FHD,B30,MATCH(TEMPLATE_SPHERE,TEMPLATE_SPHERE_LIST_FOR_NOTE,0))</f>
        <v>0</v>
      </c>
      <c r="L30" s="846" t="str">
        <f>IF(I30=0,"",I30)</f>
        <v>2.6</v>
      </c>
      <c r="M30" s="846"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6" t="str">
        <f>IF(K30=0,"",K30)</f>
        <v/>
      </c>
      <c r="O30" s="959" t="s">
        <v>738</v>
      </c>
      <c r="P30" s="959" t="s">
        <v>729</v>
      </c>
      <c r="Q30" s="959" t="s">
        <v>738</v>
      </c>
      <c r="R30" s="959" t="s">
        <v>729</v>
      </c>
      <c r="S30" s="959"/>
      <c r="T30" s="966" t="s">
        <v>2065</v>
      </c>
      <c r="U30" s="848" t="s">
        <v>2065</v>
      </c>
      <c r="V30" s="848" t="s">
        <v>2065</v>
      </c>
      <c r="W30" s="848" t="s">
        <v>2065</v>
      </c>
      <c r="X30" s="845"/>
      <c r="Y30" s="1002"/>
      <c r="Z30" s="848"/>
      <c r="AA30" s="851" t="s">
        <v>2066</v>
      </c>
      <c r="AB30" s="851" t="s">
        <v>2066</v>
      </c>
      <c r="AC30" s="851" t="s">
        <v>2066</v>
      </c>
      <c r="AD30" s="848"/>
    </row>
    <row customHeight="1" ht="18">
      <c r="A31" s="847"/>
      <c r="B31" s="901">
        <v>14</v>
      </c>
      <c r="C31" s="845" t="s">
        <v>2067</v>
      </c>
      <c r="D31" s="969"/>
      <c r="E31" s="845"/>
      <c r="F31" s="845"/>
      <c r="G31" s="893"/>
      <c r="H31" s="960"/>
      <c r="I31" s="1007" t="str">
        <f>INDEX(TEMPLATE_NUMBER_POINT_FHD,B31,MATCH(TEMPLATE_SPHERE,TEMPLATE_SPHERE_LIST_FOR_NOTE,0))</f>
        <v>2.6.1</v>
      </c>
      <c r="J31" s="1007" t="str">
        <f>INDEX(TEMPLATE_DATA_POINT_FHD,B31,MATCH(TEMPLATE_SPHERE,TEMPLATE_SPHERE_LIST_FOR_NOTE,0))</f>
        <v>Расходы на оплату труда основного производственного персонала</v>
      </c>
      <c r="K31" s="1007">
        <f>INDEX(TEMPLATE_NOTE_POINT_FHD,B31,MATCH(TEMPLATE_SPHERE,TEMPLATE_SPHERE_LIST_FOR_NOTE,0))</f>
        <v>0</v>
      </c>
      <c r="L31" s="846" t="str">
        <f>IF(I31=0,"",I31)</f>
        <v>2.6.1</v>
      </c>
      <c r="M31" s="846" t="str">
        <f>IF(J31=0,"",J31)</f>
        <v>Расходы на оплату труда основного производственного персонала</v>
      </c>
      <c r="N31" s="846" t="str">
        <f>IF(K31=0,"",K31)</f>
        <v/>
      </c>
      <c r="O31" s="959" t="s">
        <v>2068</v>
      </c>
      <c r="P31" s="959" t="s">
        <v>732</v>
      </c>
      <c r="Q31" s="959" t="s">
        <v>2068</v>
      </c>
      <c r="R31" s="959" t="s">
        <v>732</v>
      </c>
      <c r="S31" s="959"/>
      <c r="T31" s="967" t="s">
        <v>2069</v>
      </c>
      <c r="U31" s="848" t="s">
        <v>2069</v>
      </c>
      <c r="V31" s="848" t="s">
        <v>2069</v>
      </c>
      <c r="W31" s="848" t="s">
        <v>2069</v>
      </c>
      <c r="X31" s="845"/>
      <c r="Y31" s="1002"/>
      <c r="Z31" s="848"/>
      <c r="AA31" s="851"/>
      <c r="AB31" s="851"/>
      <c r="AC31" s="851"/>
      <c r="AD31" s="848"/>
    </row>
    <row customHeight="1" ht="36">
      <c r="A32" s="847"/>
      <c r="B32" s="901">
        <v>15</v>
      </c>
      <c r="C32" s="845" t="s">
        <v>2070</v>
      </c>
      <c r="D32" s="969"/>
      <c r="E32" s="845"/>
      <c r="F32" s="845"/>
      <c r="G32" s="893"/>
      <c r="H32" s="960"/>
      <c r="I32" s="1007" t="str">
        <f>INDEX(TEMPLATE_NUMBER_POINT_FHD,B32,MATCH(TEMPLATE_SPHERE,TEMPLATE_SPHERE_LIST_FOR_NOTE,0))</f>
        <v>2.6.2</v>
      </c>
      <c r="J32" s="1007"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7">
        <f>INDEX(TEMPLATE_NOTE_POINT_FHD,B32,MATCH(TEMPLATE_SPHERE,TEMPLATE_SPHERE_LIST_FOR_NOTE,0))</f>
        <v>0</v>
      </c>
      <c r="L32" s="846" t="str">
        <f>IF(I32=0,"",I32)</f>
        <v>2.6.2</v>
      </c>
      <c r="M32" s="846" t="str">
        <f>IF(J32=0,"",J32)</f>
        <v>Страховые взносы на обязательное социальное страхование, выплачиваемые из фонда оплаты труда основного производственного персонала</v>
      </c>
      <c r="N32" s="846" t="str">
        <f>IF(K32=0,"",K32)</f>
        <v/>
      </c>
      <c r="O32" s="959" t="s">
        <v>2071</v>
      </c>
      <c r="P32" s="959" t="s">
        <v>734</v>
      </c>
      <c r="Q32" s="959" t="s">
        <v>2071</v>
      </c>
      <c r="R32" s="959" t="s">
        <v>734</v>
      </c>
      <c r="S32" s="959"/>
      <c r="T32" s="968"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8" t="s">
        <v>2072</v>
      </c>
      <c r="V32" s="848" t="s">
        <v>2072</v>
      </c>
      <c r="W32" s="848" t="s">
        <v>2072</v>
      </c>
      <c r="X32" s="845"/>
      <c r="Y32" s="1002"/>
      <c r="Z32" s="848"/>
      <c r="AA32" s="851"/>
      <c r="AB32" s="851"/>
      <c r="AC32" s="851"/>
      <c r="AD32" s="848"/>
    </row>
    <row customHeight="1" ht="45">
      <c r="A33" s="847"/>
      <c r="B33" s="901">
        <v>16</v>
      </c>
      <c r="C33" s="845">
        <v>10</v>
      </c>
      <c r="D33" s="969"/>
      <c r="E33" s="845"/>
      <c r="F33" s="845"/>
      <c r="G33" s="893"/>
      <c r="H33" s="960"/>
      <c r="I33" s="1007" t="str">
        <f>INDEX(TEMPLATE_NUMBER_POINT_FHD,B33,MATCH(TEMPLATE_SPHERE,TEMPLATE_SPHERE_LIST_FOR_NOTE,0))</f>
        <v>2.7</v>
      </c>
      <c r="J33" s="1007"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7">
        <f>INDEX(TEMPLATE_NOTE_POINT_FHD,B33,MATCH(TEMPLATE_SPHERE,TEMPLATE_SPHERE_LIST_FOR_NOTE,0))</f>
        <v>0</v>
      </c>
      <c r="L33" s="846" t="str">
        <f>IF(I33=0,"",I33)</f>
        <v>2.7</v>
      </c>
      <c r="M33" s="846"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6" t="str">
        <f>IF(K33=0,"",K33)</f>
        <v/>
      </c>
      <c r="O33" s="959" t="s">
        <v>740</v>
      </c>
      <c r="P33" s="959" t="s">
        <v>736</v>
      </c>
      <c r="Q33" s="959" t="s">
        <v>740</v>
      </c>
      <c r="R33" s="959" t="s">
        <v>736</v>
      </c>
      <c r="S33" s="959"/>
      <c r="T33" s="967"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8" t="s">
        <v>2073</v>
      </c>
      <c r="V33" s="848" t="s">
        <v>2073</v>
      </c>
      <c r="W33" s="848" t="s">
        <v>2074</v>
      </c>
      <c r="X33" s="845"/>
      <c r="Y33" s="1002"/>
      <c r="Z33" s="848"/>
      <c r="AA33" s="851" t="s">
        <v>2075</v>
      </c>
      <c r="AB33" s="851" t="s">
        <v>2075</v>
      </c>
      <c r="AC33" s="851" t="s">
        <v>2075</v>
      </c>
      <c r="AD33" s="848"/>
    </row>
    <row customHeight="1" ht="27">
      <c r="A34" s="847"/>
      <c r="B34" s="901">
        <v>17</v>
      </c>
      <c r="C34" s="845" t="s">
        <v>2076</v>
      </c>
      <c r="D34" s="969"/>
      <c r="E34" s="845"/>
      <c r="F34" s="845"/>
      <c r="G34" s="893"/>
      <c r="H34" s="960"/>
      <c r="I34" s="1007" t="str">
        <f>INDEX(TEMPLATE_NUMBER_POINT_FHD,B34,MATCH(TEMPLATE_SPHERE,TEMPLATE_SPHERE_LIST_FOR_NOTE,0))</f>
        <v>2.7.1</v>
      </c>
      <c r="J34" s="1007" t="str">
        <f>INDEX(TEMPLATE_DATA_POINT_FHD,B34,MATCH(TEMPLATE_SPHERE,TEMPLATE_SPHERE_LIST_FOR_NOTE,0))</f>
        <v>Расходы на оплату труда административно-управленческого персонала</v>
      </c>
      <c r="K34" s="1007">
        <f>INDEX(TEMPLATE_NOTE_POINT_FHD,B34,MATCH(TEMPLATE_SPHERE,TEMPLATE_SPHERE_LIST_FOR_NOTE,0))</f>
        <v>0</v>
      </c>
      <c r="L34" s="846" t="str">
        <f>IF(I34=0,"",I34)</f>
        <v>2.7.1</v>
      </c>
      <c r="M34" s="846" t="str">
        <f>IF(J34=0,"",J34)</f>
        <v>Расходы на оплату труда административно-управленческого персонала</v>
      </c>
      <c r="N34" s="846" t="str">
        <f>IF(K34=0,"",K34)</f>
        <v/>
      </c>
      <c r="O34" s="959" t="s">
        <v>2077</v>
      </c>
      <c r="P34" s="959" t="s">
        <v>2059</v>
      </c>
      <c r="Q34" s="959" t="s">
        <v>2077</v>
      </c>
      <c r="R34" s="959" t="s">
        <v>2059</v>
      </c>
      <c r="S34" s="959"/>
      <c r="T34" s="968" t="s">
        <v>2078</v>
      </c>
      <c r="U34" s="848" t="s">
        <v>2078</v>
      </c>
      <c r="V34" s="848" t="s">
        <v>2078</v>
      </c>
      <c r="W34" s="848" t="s">
        <v>2079</v>
      </c>
      <c r="X34" s="845"/>
      <c r="Y34" s="1002"/>
      <c r="Z34" s="848"/>
      <c r="AA34" s="851"/>
      <c r="AB34" s="848"/>
      <c r="AC34" s="848"/>
      <c r="AD34" s="848"/>
    </row>
    <row customHeight="1" ht="45">
      <c r="A35" s="847"/>
      <c r="B35" s="901">
        <v>18</v>
      </c>
      <c r="C35" s="845" t="s">
        <v>2080</v>
      </c>
      <c r="D35" s="969"/>
      <c r="E35" s="845"/>
      <c r="F35" s="845"/>
      <c r="G35" s="893"/>
      <c r="H35" s="960"/>
      <c r="I35" s="1007" t="str">
        <f>INDEX(TEMPLATE_NUMBER_POINT_FHD,B35,MATCH(TEMPLATE_SPHERE,TEMPLATE_SPHERE_LIST_FOR_NOTE,0))</f>
        <v>2.7.2</v>
      </c>
      <c r="J35" s="1007"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7">
        <f>INDEX(TEMPLATE_NOTE_POINT_FHD,B35,MATCH(TEMPLATE_SPHERE,TEMPLATE_SPHERE_LIST_FOR_NOTE,0))</f>
        <v>0</v>
      </c>
      <c r="L35" s="846" t="str">
        <f>IF(I35=0,"",I35)</f>
        <v>2.7.2</v>
      </c>
      <c r="M35" s="846"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6" t="str">
        <f>IF(K35=0,"",K35)</f>
        <v/>
      </c>
      <c r="O35" s="959" t="s">
        <v>2081</v>
      </c>
      <c r="P35" s="959" t="s">
        <v>2061</v>
      </c>
      <c r="Q35" s="959" t="s">
        <v>2081</v>
      </c>
      <c r="R35" s="959" t="s">
        <v>2061</v>
      </c>
      <c r="S35" s="959"/>
      <c r="T35" s="966"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8" t="s">
        <v>2082</v>
      </c>
      <c r="V35" s="848" t="s">
        <v>2082</v>
      </c>
      <c r="W35" s="848" t="s">
        <v>2082</v>
      </c>
      <c r="X35" s="845"/>
      <c r="Y35" s="1002"/>
      <c r="Z35" s="848"/>
      <c r="AA35" s="851"/>
      <c r="AB35" s="848"/>
      <c r="AC35" s="848"/>
      <c r="AD35" s="848"/>
    </row>
    <row customHeight="1" ht="18">
      <c r="A36" s="847"/>
      <c r="B36" s="901">
        <v>19</v>
      </c>
      <c r="C36" s="845">
        <v>11</v>
      </c>
      <c r="D36" s="969"/>
      <c r="E36" s="845"/>
      <c r="F36" s="845"/>
      <c r="G36" s="893"/>
      <c r="H36" s="960"/>
      <c r="I36" s="1007" t="str">
        <f>INDEX(TEMPLATE_NUMBER_POINT_FHD,B36,MATCH(TEMPLATE_SPHERE,TEMPLATE_SPHERE_LIST_FOR_NOTE,0))</f>
        <v>2.8</v>
      </c>
      <c r="J36" s="1007" t="str">
        <f>INDEX(TEMPLATE_DATA_POINT_FHD,B36,MATCH(TEMPLATE_SPHERE,TEMPLATE_SPHERE_LIST_FOR_NOTE,0))</f>
        <v>Расходы на амортизацию основных средств и нематериальных активов</v>
      </c>
      <c r="K36" s="1007">
        <f>INDEX(TEMPLATE_NOTE_POINT_FHD,B36,MATCH(TEMPLATE_SPHERE,TEMPLATE_SPHERE_LIST_FOR_NOTE,0))</f>
        <v>0</v>
      </c>
      <c r="L36" s="846" t="str">
        <f>IF(I36=0,"",I36)</f>
        <v>2.8</v>
      </c>
      <c r="M36" s="846" t="str">
        <f>IF(J36=0,"",J36)</f>
        <v>Расходы на амортизацию основных средств и нематериальных активов</v>
      </c>
      <c r="N36" s="846" t="str">
        <f>IF(K36=0,"",K36)</f>
        <v/>
      </c>
      <c r="O36" s="959" t="s">
        <v>742</v>
      </c>
      <c r="P36" s="959" t="s">
        <v>738</v>
      </c>
      <c r="Q36" s="959" t="s">
        <v>742</v>
      </c>
      <c r="R36" s="959" t="s">
        <v>738</v>
      </c>
      <c r="S36" s="959"/>
      <c r="T36" s="966" t="s">
        <v>2083</v>
      </c>
      <c r="U36" s="848" t="s">
        <v>2083</v>
      </c>
      <c r="V36" s="848" t="s">
        <v>2083</v>
      </c>
      <c r="W36" s="848" t="s">
        <v>2083</v>
      </c>
      <c r="X36" s="845"/>
      <c r="Y36" s="1002"/>
      <c r="Z36" s="848"/>
      <c r="AA36" s="851"/>
      <c r="AB36" s="848"/>
      <c r="AC36" s="848"/>
      <c r="AD36" s="848"/>
    </row>
    <row customHeight="1" ht="18">
      <c r="A37" s="847"/>
      <c r="B37" s="901">
        <v>20</v>
      </c>
      <c r="C37" s="845" t="s">
        <v>2084</v>
      </c>
      <c r="D37" s="969"/>
      <c r="E37" s="845"/>
      <c r="F37" s="845"/>
      <c r="G37" s="893"/>
      <c r="H37" s="960"/>
      <c r="I37" s="1007" t="str">
        <f>INDEX(TEMPLATE_NUMBER_POINT_FHD,B37,MATCH(TEMPLATE_SPHERE,TEMPLATE_SPHERE_LIST_FOR_NOTE,0))</f>
        <v>2.8.1</v>
      </c>
      <c r="J37" s="1007" t="str">
        <f>INDEX(TEMPLATE_DATA_POINT_FHD,B37,MATCH(TEMPLATE_SPHERE,TEMPLATE_SPHERE_LIST_FOR_NOTE,0))</f>
        <v>Расходы на амортизацию основных средств</v>
      </c>
      <c r="K37" s="1007">
        <f>INDEX(TEMPLATE_NOTE_POINT_FHD,B37,MATCH(TEMPLATE_SPHERE,TEMPLATE_SPHERE_LIST_FOR_NOTE,0))</f>
        <v>0</v>
      </c>
      <c r="L37" s="846" t="str">
        <f>IF(I37=0,"",I37)</f>
        <v>2.8.1</v>
      </c>
      <c r="M37" s="846" t="str">
        <f>IF(J37=0,"",J37)</f>
        <v>Расходы на амортизацию основных средств</v>
      </c>
      <c r="N37" s="846" t="str">
        <f>IF(K37=0,"",K37)</f>
        <v/>
      </c>
      <c r="O37" s="959" t="s">
        <v>2085</v>
      </c>
      <c r="P37" s="959" t="s">
        <v>2068</v>
      </c>
      <c r="Q37" s="959" t="s">
        <v>2085</v>
      </c>
      <c r="R37" s="959" t="s">
        <v>2068</v>
      </c>
      <c r="S37" s="959"/>
      <c r="T37" s="966" t="s">
        <v>2086</v>
      </c>
      <c r="U37" s="848" t="s">
        <v>2086</v>
      </c>
      <c r="V37" s="848" t="s">
        <v>2086</v>
      </c>
      <c r="W37" s="848" t="s">
        <v>2086</v>
      </c>
      <c r="X37" s="845"/>
      <c r="Y37" s="1002"/>
      <c r="Z37" s="848"/>
      <c r="AA37" s="851"/>
      <c r="AB37" s="848"/>
      <c r="AC37" s="848"/>
      <c r="AD37" s="848"/>
    </row>
    <row customHeight="1" ht="18">
      <c r="A38" s="847"/>
      <c r="B38" s="901">
        <v>21</v>
      </c>
      <c r="C38" s="845" t="s">
        <v>2087</v>
      </c>
      <c r="D38" s="969"/>
      <c r="E38" s="845"/>
      <c r="F38" s="845"/>
      <c r="G38" s="893"/>
      <c r="H38" s="960"/>
      <c r="I38" s="1007" t="str">
        <f>INDEX(TEMPLATE_NUMBER_POINT_FHD,B38,MATCH(TEMPLATE_SPHERE,TEMPLATE_SPHERE_LIST_FOR_NOTE,0))</f>
        <v>2.8.2</v>
      </c>
      <c r="J38" s="1007" t="str">
        <f>INDEX(TEMPLATE_DATA_POINT_FHD,B38,MATCH(TEMPLATE_SPHERE,TEMPLATE_SPHERE_LIST_FOR_NOTE,0))</f>
        <v>Расходы на амортизацию нематериальных активов</v>
      </c>
      <c r="K38" s="1007">
        <f>INDEX(TEMPLATE_NOTE_POINT_FHD,B38,MATCH(TEMPLATE_SPHERE,TEMPLATE_SPHERE_LIST_FOR_NOTE,0))</f>
        <v>0</v>
      </c>
      <c r="L38" s="846" t="str">
        <f>IF(I38=0,"",I38)</f>
        <v>2.8.2</v>
      </c>
      <c r="M38" s="846" t="str">
        <f>IF(J38=0,"",J38)</f>
        <v>Расходы на амортизацию нематериальных активов</v>
      </c>
      <c r="N38" s="846" t="str">
        <f>IF(K38=0,"",K38)</f>
        <v/>
      </c>
      <c r="O38" s="959" t="s">
        <v>2088</v>
      </c>
      <c r="P38" s="959" t="s">
        <v>2071</v>
      </c>
      <c r="Q38" s="959" t="s">
        <v>2088</v>
      </c>
      <c r="R38" s="959" t="s">
        <v>2071</v>
      </c>
      <c r="S38" s="959"/>
      <c r="T38" s="966" t="s">
        <v>2089</v>
      </c>
      <c r="U38" s="848" t="s">
        <v>2089</v>
      </c>
      <c r="V38" s="848" t="s">
        <v>2089</v>
      </c>
      <c r="W38" s="848" t="s">
        <v>2089</v>
      </c>
      <c r="X38" s="845"/>
      <c r="Y38" s="1002"/>
      <c r="Z38" s="848"/>
      <c r="AA38" s="851"/>
      <c r="AB38" s="848"/>
      <c r="AC38" s="848"/>
      <c r="AD38" s="848"/>
    </row>
    <row customHeight="1" ht="36">
      <c r="A39" s="847"/>
      <c r="B39" s="901">
        <v>22</v>
      </c>
      <c r="C39" s="845">
        <v>12</v>
      </c>
      <c r="D39" s="969"/>
      <c r="E39" s="845"/>
      <c r="F39" s="845"/>
      <c r="G39" s="893"/>
      <c r="H39" s="960"/>
      <c r="I39" s="1007" t="str">
        <f>INDEX(TEMPLATE_NUMBER_POINT_FHD,B39,MATCH(TEMPLATE_SPHERE,TEMPLATE_SPHERE_LIST_FOR_NOTE,0))</f>
        <v>2.9</v>
      </c>
      <c r="J39" s="1007" t="str">
        <f>INDEX(TEMPLATE_DATA_POINT_FHD,B39,MATCH(TEMPLATE_SPHERE,TEMPLATE_SPHERE_LIST_FOR_NOTE,0))</f>
        <v>Расходы на аренду имущества, используемого для осуществления регулируемого вида деятельности</v>
      </c>
      <c r="K39" s="1007">
        <f>INDEX(TEMPLATE_NOTE_POINT_FHD,B39,MATCH(TEMPLATE_SPHERE,TEMPLATE_SPHERE_LIST_FOR_NOTE,0))</f>
        <v>0</v>
      </c>
      <c r="L39" s="846" t="str">
        <f>IF(I39=0,"",I39)</f>
        <v>2.9</v>
      </c>
      <c r="M39" s="846" t="str">
        <f>IF(J39=0,"",J39)</f>
        <v>Расходы на аренду имущества, используемого для осуществления регулируемого вида деятельности</v>
      </c>
      <c r="N39" s="846" t="str">
        <f>IF(K39=0,"",K39)</f>
        <v/>
      </c>
      <c r="O39" s="959" t="s">
        <v>746</v>
      </c>
      <c r="P39" s="959" t="s">
        <v>740</v>
      </c>
      <c r="Q39" s="959" t="s">
        <v>746</v>
      </c>
      <c r="R39" s="959" t="s">
        <v>740</v>
      </c>
      <c r="S39" s="959"/>
      <c r="T39" s="966" t="s">
        <v>2090</v>
      </c>
      <c r="U39" s="848" t="s">
        <v>2091</v>
      </c>
      <c r="V39" s="848" t="s">
        <v>2092</v>
      </c>
      <c r="W39" s="848" t="s">
        <v>2093</v>
      </c>
      <c r="X39" s="845"/>
      <c r="Y39" s="1002"/>
      <c r="Z39" s="848"/>
      <c r="AA39" s="851"/>
      <c r="AB39" s="848"/>
      <c r="AC39" s="848"/>
      <c r="AD39" s="848"/>
    </row>
    <row customHeight="1" ht="18">
      <c r="A40" s="847"/>
      <c r="B40" s="901">
        <v>23</v>
      </c>
      <c r="C40" s="845">
        <v>13</v>
      </c>
      <c r="D40" s="969"/>
      <c r="E40" s="845"/>
      <c r="F40" s="845"/>
      <c r="G40" s="845"/>
      <c r="H40" s="896"/>
      <c r="I40" s="1007" t="str">
        <f>INDEX(TEMPLATE_NUMBER_POINT_FHD,B40,MATCH(TEMPLATE_SPHERE,TEMPLATE_SPHERE_LIST_FOR_NOTE,0))</f>
        <v>2.10</v>
      </c>
      <c r="J40" s="1007" t="str">
        <f>INDEX(TEMPLATE_DATA_POINT_FHD,B40,MATCH(TEMPLATE_SPHERE,TEMPLATE_SPHERE_LIST_FOR_NOTE,0))</f>
        <v>Общепроизводственные расходы, в том числе:</v>
      </c>
      <c r="K40" s="1007" t="str">
        <f>INDEX(TEMPLATE_NOTE_POINT_FHD,B40,MATCH(TEMPLATE_SPHERE,TEMPLATE_SPHERE_LIST_FOR_NOTE,0))</f>
        <v>Указывается общая сумма общепроизводственных расходов.</v>
      </c>
      <c r="L40" s="846" t="str">
        <f>IF(I40=0,"",I40)</f>
        <v>2.10</v>
      </c>
      <c r="M40" s="846" t="str">
        <f>IF(J40=0,"",J40)</f>
        <v>Общепроизводственные расходы, в том числе:</v>
      </c>
      <c r="N40" s="846" t="str">
        <f>IF(K40=0,"",K40)</f>
        <v>Указывается общая сумма общепроизводственных расходов.</v>
      </c>
      <c r="O40" s="959" t="s">
        <v>2094</v>
      </c>
      <c r="P40" s="959" t="s">
        <v>742</v>
      </c>
      <c r="Q40" s="959" t="s">
        <v>2094</v>
      </c>
      <c r="R40" s="959" t="s">
        <v>742</v>
      </c>
      <c r="S40" s="959"/>
      <c r="T40" s="845" t="s">
        <v>2095</v>
      </c>
      <c r="U40" s="845" t="s">
        <v>2095</v>
      </c>
      <c r="V40" s="845" t="s">
        <v>2095</v>
      </c>
      <c r="W40" s="845" t="s">
        <v>2095</v>
      </c>
      <c r="X40" s="845"/>
      <c r="Y40" s="1002"/>
      <c r="Z40" s="848" t="s">
        <v>2096</v>
      </c>
      <c r="AA40" s="851" t="s">
        <v>2096</v>
      </c>
      <c r="AB40" s="851" t="s">
        <v>2096</v>
      </c>
      <c r="AC40" s="851" t="s">
        <v>2096</v>
      </c>
      <c r="AD40" s="848"/>
    </row>
    <row customHeight="1" ht="27">
      <c r="A41" s="847"/>
      <c r="B41" s="901">
        <v>24</v>
      </c>
      <c r="C41" s="845" t="s">
        <v>2097</v>
      </c>
      <c r="D41" s="969"/>
      <c r="E41" s="845"/>
      <c r="F41" s="845"/>
      <c r="G41" s="845"/>
      <c r="H41" s="893"/>
      <c r="I41" s="1007" t="str">
        <f>INDEX(TEMPLATE_NUMBER_POINT_FHD,B41,MATCH(TEMPLATE_SPHERE,TEMPLATE_SPHERE_LIST_FOR_NOTE,0))</f>
        <v>2.10.1</v>
      </c>
      <c r="J41" s="1007" t="str">
        <f>INDEX(TEMPLATE_DATA_POINT_FHD,B41,MATCH(TEMPLATE_SPHERE,TEMPLATE_SPHERE_LIST_FOR_NOTE,0))</f>
        <v>Расходы на текущий ремонт</v>
      </c>
      <c r="K41" s="1007" t="str">
        <f>INDEX(TEMPLATE_NOTE_POINT_FHD,B41,MATCH(TEMPLATE_SPHERE,TEMPLATE_SPHERE_LIST_FOR_NOTE,0))</f>
        <v>Указываются расходы на текущий ремонт, отнесенные к общепроизводственным расходам.</v>
      </c>
      <c r="L41" s="846" t="str">
        <f>IF(I41=0,"",I41)</f>
        <v>2.10.1</v>
      </c>
      <c r="M41" s="846" t="str">
        <f>IF(J41=0,"",J41)</f>
        <v>Расходы на текущий ремонт</v>
      </c>
      <c r="N41" s="846" t="str">
        <f>IF(K41=0,"",K41)</f>
        <v>Указываются расходы на текущий ремонт, отнесенные к общепроизводственным расходам.</v>
      </c>
      <c r="O41" s="959" t="s">
        <v>2098</v>
      </c>
      <c r="P41" s="959" t="s">
        <v>2085</v>
      </c>
      <c r="Q41" s="959" t="s">
        <v>2098</v>
      </c>
      <c r="R41" s="959" t="s">
        <v>2085</v>
      </c>
      <c r="S41" s="959"/>
      <c r="T41" s="845" t="s">
        <v>2099</v>
      </c>
      <c r="U41" s="845" t="s">
        <v>2099</v>
      </c>
      <c r="V41" s="845" t="s">
        <v>2099</v>
      </c>
      <c r="W41" s="845" t="s">
        <v>2099</v>
      </c>
      <c r="X41" s="845"/>
      <c r="Y41" s="1002"/>
      <c r="Z41" s="848" t="s">
        <v>2100</v>
      </c>
      <c r="AA41" s="848" t="s">
        <v>2100</v>
      </c>
      <c r="AB41" s="848" t="s">
        <v>2100</v>
      </c>
      <c r="AC41" s="848" t="s">
        <v>2100</v>
      </c>
      <c r="AD41" s="848"/>
    </row>
    <row customHeight="1" ht="27">
      <c r="A42" s="847"/>
      <c r="B42" s="901">
        <v>25</v>
      </c>
      <c r="C42" s="845" t="s">
        <v>2101</v>
      </c>
      <c r="D42" s="969"/>
      <c r="E42" s="845"/>
      <c r="F42" s="845"/>
      <c r="G42" s="845"/>
      <c r="H42" s="893"/>
      <c r="I42" s="1007" t="str">
        <f>INDEX(TEMPLATE_NUMBER_POINT_FHD,B42,MATCH(TEMPLATE_SPHERE,TEMPLATE_SPHERE_LIST_FOR_NOTE,0))</f>
        <v>2.10.2</v>
      </c>
      <c r="J42" s="1007" t="str">
        <f>INDEX(TEMPLATE_DATA_POINT_FHD,B42,MATCH(TEMPLATE_SPHERE,TEMPLATE_SPHERE_LIST_FOR_NOTE,0))</f>
        <v>Расходы на капитальный ремонт</v>
      </c>
      <c r="K42" s="1007" t="str">
        <f>INDEX(TEMPLATE_NOTE_POINT_FHD,B42,MATCH(TEMPLATE_SPHERE,TEMPLATE_SPHERE_LIST_FOR_NOTE,0))</f>
        <v>Указываются расходы на капитальный ремонт, отнесенные к общепроизводственным расходам.</v>
      </c>
      <c r="L42" s="846" t="str">
        <f>IF(I42=0,"",I42)</f>
        <v>2.10.2</v>
      </c>
      <c r="M42" s="846" t="str">
        <f>IF(J42=0,"",J42)</f>
        <v>Расходы на капитальный ремонт</v>
      </c>
      <c r="N42" s="846" t="str">
        <f>IF(K42=0,"",K42)</f>
        <v>Указываются расходы на капитальный ремонт, отнесенные к общепроизводственным расходам.</v>
      </c>
      <c r="O42" s="959" t="s">
        <v>2102</v>
      </c>
      <c r="P42" s="959" t="s">
        <v>2088</v>
      </c>
      <c r="Q42" s="959" t="s">
        <v>2102</v>
      </c>
      <c r="R42" s="959" t="s">
        <v>2088</v>
      </c>
      <c r="S42" s="959"/>
      <c r="T42" s="845" t="s">
        <v>2103</v>
      </c>
      <c r="U42" s="845" t="s">
        <v>2103</v>
      </c>
      <c r="V42" s="845" t="s">
        <v>2103</v>
      </c>
      <c r="W42" s="845" t="s">
        <v>2103</v>
      </c>
      <c r="X42" s="845"/>
      <c r="Y42" s="1002"/>
      <c r="Z42" s="848" t="s">
        <v>2104</v>
      </c>
      <c r="AA42" s="848" t="s">
        <v>2104</v>
      </c>
      <c r="AB42" s="848" t="s">
        <v>2104</v>
      </c>
      <c r="AC42" s="848" t="s">
        <v>2104</v>
      </c>
      <c r="AD42" s="848"/>
    </row>
    <row customHeight="1" ht="18">
      <c r="A43" s="847"/>
      <c r="B43" s="901">
        <v>26</v>
      </c>
      <c r="C43" s="845">
        <v>14</v>
      </c>
      <c r="D43" s="969"/>
      <c r="E43" s="845"/>
      <c r="F43" s="845"/>
      <c r="G43" s="845"/>
      <c r="H43" s="893"/>
      <c r="I43" s="1007" t="str">
        <f>INDEX(TEMPLATE_NUMBER_POINT_FHD,B43,MATCH(TEMPLATE_SPHERE,TEMPLATE_SPHERE_LIST_FOR_NOTE,0))</f>
        <v>2.11</v>
      </c>
      <c r="J43" s="1007" t="str">
        <f>INDEX(TEMPLATE_DATA_POINT_FHD,B43,MATCH(TEMPLATE_SPHERE,TEMPLATE_SPHERE_LIST_FOR_NOTE,0))</f>
        <v>Общехозяйственные расходы, в том числе:</v>
      </c>
      <c r="K43" s="1007" t="str">
        <f>INDEX(TEMPLATE_NOTE_POINT_FHD,B43,MATCH(TEMPLATE_SPHERE,TEMPLATE_SPHERE_LIST_FOR_NOTE,0))</f>
        <v>Указывается общая сумма общехозяйственных расходов.</v>
      </c>
      <c r="L43" s="846" t="str">
        <f>IF(I43=0,"",I43)</f>
        <v>2.11</v>
      </c>
      <c r="M43" s="846" t="str">
        <f>IF(J43=0,"",J43)</f>
        <v>Общехозяйственные расходы, в том числе:</v>
      </c>
      <c r="N43" s="846" t="str">
        <f>IF(K43=0,"",K43)</f>
        <v>Указывается общая сумма общехозяйственных расходов.</v>
      </c>
      <c r="O43" s="959" t="s">
        <v>2105</v>
      </c>
      <c r="P43" s="959" t="s">
        <v>746</v>
      </c>
      <c r="Q43" s="959" t="s">
        <v>2105</v>
      </c>
      <c r="R43" s="959" t="s">
        <v>746</v>
      </c>
      <c r="S43" s="959"/>
      <c r="T43" s="845" t="s">
        <v>2106</v>
      </c>
      <c r="U43" s="845" t="s">
        <v>2106</v>
      </c>
      <c r="V43" s="845" t="s">
        <v>2106</v>
      </c>
      <c r="W43" s="845" t="s">
        <v>2106</v>
      </c>
      <c r="X43" s="845"/>
      <c r="Y43" s="1002"/>
      <c r="Z43" s="848" t="s">
        <v>2107</v>
      </c>
      <c r="AA43" s="848" t="s">
        <v>2107</v>
      </c>
      <c r="AB43" s="848" t="s">
        <v>2107</v>
      </c>
      <c r="AC43" s="848" t="s">
        <v>2107</v>
      </c>
      <c r="AD43" s="848"/>
    </row>
    <row customHeight="1" ht="27">
      <c r="A44" s="847"/>
      <c r="B44" s="901">
        <v>27</v>
      </c>
      <c r="C44" s="845" t="s">
        <v>2108</v>
      </c>
      <c r="D44" s="969"/>
      <c r="E44" s="845"/>
      <c r="F44" s="845"/>
      <c r="G44" s="845"/>
      <c r="H44" s="893"/>
      <c r="I44" s="1007" t="str">
        <f>INDEX(TEMPLATE_NUMBER_POINT_FHD,B44,MATCH(TEMPLATE_SPHERE,TEMPLATE_SPHERE_LIST_FOR_NOTE,0))</f>
        <v>2.11.1</v>
      </c>
      <c r="J44" s="1007" t="str">
        <f>INDEX(TEMPLATE_DATA_POINT_FHD,B44,MATCH(TEMPLATE_SPHERE,TEMPLATE_SPHERE_LIST_FOR_NOTE,0))</f>
        <v>Расходы на текущий ремонт</v>
      </c>
      <c r="K44" s="1007" t="str">
        <f>INDEX(TEMPLATE_NOTE_POINT_FHD,B44,MATCH(TEMPLATE_SPHERE,TEMPLATE_SPHERE_LIST_FOR_NOTE,0))</f>
        <v>Указываются расходы на текущий ремонт, отнесенные к общехозяйственным расходам.</v>
      </c>
      <c r="L44" s="846" t="str">
        <f>IF(I44=0,"",I44)</f>
        <v>2.11.1</v>
      </c>
      <c r="M44" s="846" t="str">
        <f>IF(J44=0,"",J44)</f>
        <v>Расходы на текущий ремонт</v>
      </c>
      <c r="N44" s="846" t="str">
        <f>IF(K44=0,"",K44)</f>
        <v>Указываются расходы на текущий ремонт, отнесенные к общехозяйственным расходам.</v>
      </c>
      <c r="O44" s="959" t="s">
        <v>2109</v>
      </c>
      <c r="P44" s="959" t="s">
        <v>2110</v>
      </c>
      <c r="Q44" s="959" t="s">
        <v>2109</v>
      </c>
      <c r="R44" s="959" t="s">
        <v>2110</v>
      </c>
      <c r="S44" s="959"/>
      <c r="T44" s="845" t="s">
        <v>2099</v>
      </c>
      <c r="U44" s="845" t="s">
        <v>2099</v>
      </c>
      <c r="V44" s="845" t="s">
        <v>2099</v>
      </c>
      <c r="W44" s="845" t="s">
        <v>2099</v>
      </c>
      <c r="X44" s="845"/>
      <c r="Y44" s="1002"/>
      <c r="Z44" s="848" t="s">
        <v>2111</v>
      </c>
      <c r="AA44" s="848" t="s">
        <v>2111</v>
      </c>
      <c r="AB44" s="848" t="s">
        <v>2111</v>
      </c>
      <c r="AC44" s="848" t="s">
        <v>2111</v>
      </c>
      <c r="AD44" s="848"/>
    </row>
    <row customHeight="1" ht="27">
      <c r="A45" s="847"/>
      <c r="B45" s="901">
        <v>28</v>
      </c>
      <c r="C45" s="845" t="s">
        <v>2112</v>
      </c>
      <c r="D45" s="969"/>
      <c r="E45" s="845"/>
      <c r="F45" s="845"/>
      <c r="G45" s="845"/>
      <c r="H45" s="893"/>
      <c r="I45" s="1007" t="str">
        <f>INDEX(TEMPLATE_NUMBER_POINT_FHD,B45,MATCH(TEMPLATE_SPHERE,TEMPLATE_SPHERE_LIST_FOR_NOTE,0))</f>
        <v>2.11.2</v>
      </c>
      <c r="J45" s="1007" t="str">
        <f>INDEX(TEMPLATE_DATA_POINT_FHD,B45,MATCH(TEMPLATE_SPHERE,TEMPLATE_SPHERE_LIST_FOR_NOTE,0))</f>
        <v>Расходы на капитальный ремонт</v>
      </c>
      <c r="K45" s="1007" t="str">
        <f>INDEX(TEMPLATE_NOTE_POINT_FHD,B45,MATCH(TEMPLATE_SPHERE,TEMPLATE_SPHERE_LIST_FOR_NOTE,0))</f>
        <v>Указываются расходы на капитальный ремонт, отнесенные к общехозяйственным расходам.</v>
      </c>
      <c r="L45" s="846" t="str">
        <f>IF(I45=0,"",I45)</f>
        <v>2.11.2</v>
      </c>
      <c r="M45" s="846" t="str">
        <f>IF(J45=0,"",J45)</f>
        <v>Расходы на капитальный ремонт</v>
      </c>
      <c r="N45" s="846" t="str">
        <f>IF(K45=0,"",K45)</f>
        <v>Указываются расходы на капитальный ремонт, отнесенные к общехозяйственным расходам.</v>
      </c>
      <c r="O45" s="959" t="s">
        <v>2113</v>
      </c>
      <c r="P45" s="959" t="s">
        <v>2114</v>
      </c>
      <c r="Q45" s="959" t="s">
        <v>2113</v>
      </c>
      <c r="R45" s="959" t="s">
        <v>2114</v>
      </c>
      <c r="S45" s="959"/>
      <c r="T45" s="845" t="s">
        <v>2103</v>
      </c>
      <c r="U45" s="845" t="s">
        <v>2103</v>
      </c>
      <c r="V45" s="845" t="s">
        <v>2103</v>
      </c>
      <c r="W45" s="845" t="s">
        <v>2103</v>
      </c>
      <c r="X45" s="845"/>
      <c r="Y45" s="1002"/>
      <c r="Z45" s="848" t="s">
        <v>2115</v>
      </c>
      <c r="AA45" s="848" t="s">
        <v>2115</v>
      </c>
      <c r="AB45" s="848" t="s">
        <v>2115</v>
      </c>
      <c r="AC45" s="848" t="s">
        <v>2115</v>
      </c>
      <c r="AD45" s="848"/>
    </row>
    <row customHeight="1" ht="54">
      <c r="A46" s="847"/>
      <c r="B46" s="901">
        <v>29</v>
      </c>
      <c r="C46" s="845">
        <v>15</v>
      </c>
      <c r="D46" s="969"/>
      <c r="E46" s="845"/>
      <c r="F46" s="845"/>
      <c r="G46" s="845"/>
      <c r="H46" s="893"/>
      <c r="I46" s="1007" t="str">
        <f>INDEX(TEMPLATE_NUMBER_POINT_FHD,B46,MATCH(TEMPLATE_SPHERE,TEMPLATE_SPHERE_LIST_FOR_NOTE,0))</f>
        <v>2.12</v>
      </c>
      <c r="J46" s="1007" t="str">
        <f>INDEX(TEMPLATE_DATA_POINT_FHD,B46,MATCH(TEMPLATE_SPHERE,TEMPLATE_SPHERE_LIST_FOR_NOTE,0))</f>
        <v>Расходы на капитальный и текущий ремонт основных средств</v>
      </c>
      <c r="K46" s="1007"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6" t="str">
        <f>IF(I46=0,"",I46)</f>
        <v>2.12</v>
      </c>
      <c r="M46" s="846" t="str">
        <f>IF(J46=0,"",J46)</f>
        <v>Расходы на капитальный и текущий ремонт основных средств</v>
      </c>
      <c r="N46" s="846"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9" t="s">
        <v>2116</v>
      </c>
      <c r="P46" s="959" t="s">
        <v>2094</v>
      </c>
      <c r="Q46" s="959" t="s">
        <v>2116</v>
      </c>
      <c r="R46" s="959" t="s">
        <v>2094</v>
      </c>
      <c r="S46" s="959"/>
      <c r="T46" s="84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5" t="s">
        <v>2117</v>
      </c>
      <c r="V46" s="845" t="s">
        <v>2117</v>
      </c>
      <c r="W46" s="845" t="s">
        <v>2117</v>
      </c>
      <c r="X46" s="845"/>
      <c r="Y46" s="1002"/>
      <c r="Z46" s="848" t="s">
        <v>2118</v>
      </c>
      <c r="AA46" s="848" t="s">
        <v>2119</v>
      </c>
      <c r="AB46" s="848" t="s">
        <v>2119</v>
      </c>
      <c r="AC46" s="848" t="s">
        <v>2119</v>
      </c>
      <c r="AD46" s="848"/>
    </row>
    <row customHeight="1" ht="54">
      <c r="A47" s="847"/>
      <c r="B47" s="901">
        <v>30</v>
      </c>
      <c r="C47" s="845" t="s">
        <v>2120</v>
      </c>
      <c r="D47" s="969"/>
      <c r="E47" s="845"/>
      <c r="F47" s="845"/>
      <c r="G47" s="845"/>
      <c r="H47" s="893"/>
      <c r="I47" s="1007" t="str">
        <f>INDEX(TEMPLATE_NUMBER_POINT_FHD,B47,MATCH(TEMPLATE_SPHERE,TEMPLATE_SPHERE_LIST_FOR_NOTE,0))</f>
        <v>2.12.1</v>
      </c>
      <c r="J47" s="1007"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7">
        <f>INDEX(TEMPLATE_NOTE_POINT_FHD,B47,MATCH(TEMPLATE_SPHERE,TEMPLATE_SPHERE_LIST_FOR_NOTE,0))</f>
        <v>0</v>
      </c>
      <c r="L47" s="846" t="str">
        <f>IF(I47=0,"",I47)</f>
        <v>2.12.1</v>
      </c>
      <c r="M47" s="846"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6" t="str">
        <f>IF(K47=0,"",K47)</f>
        <v/>
      </c>
      <c r="O47" s="959" t="s">
        <v>2121</v>
      </c>
      <c r="P47" s="959" t="s">
        <v>2098</v>
      </c>
      <c r="Q47" s="959" t="s">
        <v>2121</v>
      </c>
      <c r="R47" s="959" t="s">
        <v>2098</v>
      </c>
      <c r="S47" s="959"/>
      <c r="T47" s="845" t="s">
        <v>2122</v>
      </c>
      <c r="U47" s="845" t="s">
        <v>2122</v>
      </c>
      <c r="V47" s="845" t="s">
        <v>2122</v>
      </c>
      <c r="W47" s="845" t="s">
        <v>2122</v>
      </c>
      <c r="X47" s="845"/>
      <c r="Y47" s="1002"/>
      <c r="Z47" s="848"/>
      <c r="AA47" s="851"/>
      <c r="AB47" s="851"/>
      <c r="AC47" s="851"/>
      <c r="AD47" s="848"/>
    </row>
    <row customHeight="1" ht="54">
      <c r="A48" s="847"/>
      <c r="B48" s="901">
        <v>31</v>
      </c>
      <c r="C48" s="845">
        <v>16</v>
      </c>
      <c r="D48" s="969"/>
      <c r="E48" s="845"/>
      <c r="F48" s="845"/>
      <c r="G48" s="845"/>
      <c r="H48" s="893"/>
      <c r="I48" s="1007">
        <f>INDEX(TEMPLATE_NUMBER_POINT_FHD,B48,MATCH(TEMPLATE_SPHERE,TEMPLATE_SPHERE_LIST_FOR_NOTE,0))</f>
        <v>0</v>
      </c>
      <c r="J48" s="1007">
        <f>INDEX(TEMPLATE_DATA_POINT_FHD,B48,MATCH(TEMPLATE_SPHERE,TEMPLATE_SPHERE_LIST_FOR_NOTE,0))</f>
        <v>0</v>
      </c>
      <c r="K48" s="1007">
        <f>INDEX(TEMPLATE_NOTE_POINT_FHD,B48,MATCH(TEMPLATE_SPHERE,TEMPLATE_SPHERE_LIST_FOR_NOTE,0))</f>
        <v>0</v>
      </c>
      <c r="L48" s="846" t="str">
        <f>IF(I48=0,"",I48)</f>
        <v/>
      </c>
      <c r="M48" s="846" t="str">
        <f>IF(J48=0,"",J48)</f>
        <v/>
      </c>
      <c r="N48" s="846" t="str">
        <f>IF(K48=0,"",K48)</f>
        <v/>
      </c>
      <c r="O48" s="959"/>
      <c r="P48" s="959" t="s">
        <v>2105</v>
      </c>
      <c r="Q48" s="959" t="s">
        <v>2123</v>
      </c>
      <c r="R48" s="959" t="s">
        <v>2105</v>
      </c>
      <c r="S48" s="959"/>
      <c r="T48" s="845"/>
      <c r="U48" s="845" t="s">
        <v>2124</v>
      </c>
      <c r="V48" s="845" t="s">
        <v>2125</v>
      </c>
      <c r="W48" s="845" t="s">
        <v>2125</v>
      </c>
      <c r="X48" s="845"/>
      <c r="Y48" s="1002"/>
      <c r="Z48" s="848"/>
      <c r="AA48" s="851" t="s">
        <v>2119</v>
      </c>
      <c r="AB48" s="851" t="s">
        <v>2119</v>
      </c>
      <c r="AC48" s="851" t="s">
        <v>2119</v>
      </c>
      <c r="AD48" s="848"/>
    </row>
    <row customHeight="1" ht="54">
      <c r="A49" s="847"/>
      <c r="B49" s="901">
        <v>32</v>
      </c>
      <c r="C49" s="845" t="s">
        <v>2126</v>
      </c>
      <c r="D49" s="969"/>
      <c r="E49" s="845"/>
      <c r="F49" s="845"/>
      <c r="G49" s="845"/>
      <c r="H49" s="893"/>
      <c r="I49" s="1007">
        <f>INDEX(TEMPLATE_NUMBER_POINT_FHD,B49,MATCH(TEMPLATE_SPHERE,TEMPLATE_SPHERE_LIST_FOR_NOTE,0))</f>
        <v>0</v>
      </c>
      <c r="J49" s="1007">
        <f>INDEX(TEMPLATE_DATA_POINT_FHD,B49,MATCH(TEMPLATE_SPHERE,TEMPLATE_SPHERE_LIST_FOR_NOTE,0))</f>
        <v>0</v>
      </c>
      <c r="K49" s="1007">
        <f>INDEX(TEMPLATE_NOTE_POINT_FHD,B49,MATCH(TEMPLATE_SPHERE,TEMPLATE_SPHERE_LIST_FOR_NOTE,0))</f>
        <v>0</v>
      </c>
      <c r="L49" s="846" t="str">
        <f>IF(I49=0,"",I49)</f>
        <v/>
      </c>
      <c r="M49" s="846" t="str">
        <f>IF(J49=0,"",J49)</f>
        <v/>
      </c>
      <c r="N49" s="846" t="str">
        <f>IF(K49=0,"",K49)</f>
        <v/>
      </c>
      <c r="O49" s="959"/>
      <c r="P49" s="959" t="s">
        <v>2109</v>
      </c>
      <c r="Q49" s="959" t="s">
        <v>2127</v>
      </c>
      <c r="R49" s="959" t="s">
        <v>2109</v>
      </c>
      <c r="S49" s="959"/>
      <c r="T49" s="845"/>
      <c r="U49" s="845" t="s">
        <v>2122</v>
      </c>
      <c r="V49" s="845" t="s">
        <v>2122</v>
      </c>
      <c r="W49" s="845" t="s">
        <v>2122</v>
      </c>
      <c r="X49" s="845"/>
      <c r="Y49" s="1002"/>
      <c r="Z49" s="848"/>
      <c r="AA49" s="851"/>
      <c r="AB49" s="851"/>
      <c r="AC49" s="851"/>
      <c r="AD49" s="848"/>
    </row>
    <row customHeight="1" ht="126">
      <c r="A50" s="847"/>
      <c r="B50" s="901">
        <v>33</v>
      </c>
      <c r="C50" s="845">
        <v>17</v>
      </c>
      <c r="D50" s="969"/>
      <c r="E50" s="845"/>
      <c r="F50" s="845"/>
      <c r="G50" s="845"/>
      <c r="H50" s="893"/>
      <c r="I50" s="1007" t="str">
        <f>INDEX(TEMPLATE_NUMBER_POINT_FHD,B50,MATCH(TEMPLATE_SPHERE,TEMPLATE_SPHERE_LIST_FOR_NOTE,0))</f>
        <v>2.13</v>
      </c>
      <c r="J50" s="1007"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7"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6" t="str">
        <f>IF(I50=0,"",I50)</f>
        <v>2.13</v>
      </c>
      <c r="M50" s="846"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6"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9" t="s">
        <v>2123</v>
      </c>
      <c r="P50" s="959" t="s">
        <v>2116</v>
      </c>
      <c r="Q50" s="959" t="s">
        <v>2128</v>
      </c>
      <c r="R50" s="959" t="s">
        <v>2116</v>
      </c>
      <c r="S50" s="959"/>
      <c r="T50" s="845" t="s">
        <v>2129</v>
      </c>
      <c r="U50" s="845" t="s">
        <v>2130</v>
      </c>
      <c r="V50" s="845" t="s">
        <v>2131</v>
      </c>
      <c r="W50" s="845" t="s">
        <v>2132</v>
      </c>
      <c r="X50" s="845"/>
      <c r="Y50" s="1002"/>
      <c r="Z50" s="848" t="s">
        <v>2133</v>
      </c>
      <c r="AA50" s="851" t="s">
        <v>2134</v>
      </c>
      <c r="AB50" s="851" t="s">
        <v>2134</v>
      </c>
      <c r="AC50" s="851" t="s">
        <v>2134</v>
      </c>
      <c r="AD50" s="848"/>
    </row>
    <row customHeight="1" ht="27">
      <c r="A51" s="847"/>
      <c r="B51" s="901">
        <v>34</v>
      </c>
      <c r="C51" s="845" t="s">
        <v>2135</v>
      </c>
      <c r="D51" s="969"/>
      <c r="E51" s="845"/>
      <c r="F51" s="845"/>
      <c r="G51" s="845"/>
      <c r="H51" s="893"/>
      <c r="I51" s="1007" t="str">
        <f>INDEX(TEMPLATE_NUMBER_POINT_FHD,B51,MATCH(TEMPLATE_SPHERE,TEMPLATE_SPHERE_LIST_FOR_NOTE,0))</f>
        <v>3</v>
      </c>
      <c r="J51" s="1007"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7">
        <f>INDEX(TEMPLATE_NOTE_POINT_FHD,B51,MATCH(TEMPLATE_SPHERE,TEMPLATE_SPHERE_LIST_FOR_NOTE,0))</f>
        <v>0</v>
      </c>
      <c r="L51" s="846" t="str">
        <f>IF(I51=0,"",I51)</f>
        <v>3</v>
      </c>
      <c r="M51" s="846" t="str">
        <f>IF(J51=0,"",J51)</f>
        <v>Валовая прибыль (убытки) от реализации товаров и оказания услуг по регулируемому виду деятельности</v>
      </c>
      <c r="N51" s="846" t="str">
        <f>IF(K51=0,"",K51)</f>
        <v/>
      </c>
      <c r="O51" s="959" t="s">
        <v>90</v>
      </c>
      <c r="P51" s="959"/>
      <c r="Q51" s="959"/>
      <c r="R51" s="959"/>
      <c r="S51" s="959"/>
      <c r="T51" s="845" t="s">
        <v>2136</v>
      </c>
      <c r="U51" s="845"/>
      <c r="V51" s="845"/>
      <c r="W51" s="845"/>
      <c r="X51" s="845"/>
      <c r="Y51" s="1002"/>
      <c r="Z51" s="848"/>
      <c r="AA51" s="851"/>
      <c r="AB51" s="851"/>
      <c r="AC51" s="851"/>
      <c r="AD51" s="848"/>
    </row>
    <row customHeight="1" ht="36">
      <c r="A52" s="847"/>
      <c r="B52" s="901">
        <v>35</v>
      </c>
      <c r="C52" s="845" t="s">
        <v>2029</v>
      </c>
      <c r="D52" s="969" t="s">
        <v>2029</v>
      </c>
      <c r="E52" s="845" t="s">
        <v>2029</v>
      </c>
      <c r="F52" s="845" t="s">
        <v>2029</v>
      </c>
      <c r="G52" s="845"/>
      <c r="H52" s="893"/>
      <c r="I52" s="1007" t="str">
        <f>INDEX(TEMPLATE_NUMBER_POINT_FHD,B52,MATCH(TEMPLATE_SPHERE,TEMPLATE_SPHERE_LIST_FOR_NOTE,0))</f>
        <v>4</v>
      </c>
      <c r="J52" s="1007" t="str">
        <f>INDEX(TEMPLATE_DATA_POINT_FHD,B52,MATCH(TEMPLATE_SPHERE,TEMPLATE_SPHERE_LIST_FOR_NOTE,0))</f>
        <v>Чистая прибыль, полученная от регулируемого вида деятельности, в том числе:</v>
      </c>
      <c r="K52" s="1007" t="str">
        <f>INDEX(TEMPLATE_NOTE_POINT_FHD,B52,MATCH(TEMPLATE_SPHERE,TEMPLATE_SPHERE_LIST_FOR_NOTE,0))</f>
        <v>Указывается общая сумма чистой прибыли, полученной от регулируемого вида деятельности.</v>
      </c>
      <c r="L52" s="846" t="str">
        <f>IF(I52=0,"",I52)</f>
        <v>4</v>
      </c>
      <c r="M52" s="846" t="str">
        <f>IF(J52=0,"",J52)</f>
        <v>Чистая прибыль, полученная от регулируемого вида деятельности, в том числе:</v>
      </c>
      <c r="N52" s="846" t="str">
        <f>IF(K52=0,"",K52)</f>
        <v>Указывается общая сумма чистой прибыли, полученной от регулируемого вида деятельности.</v>
      </c>
      <c r="O52" s="959" t="s">
        <v>91</v>
      </c>
      <c r="P52" s="959" t="s">
        <v>90</v>
      </c>
      <c r="Q52" s="959" t="s">
        <v>90</v>
      </c>
      <c r="R52" s="959" t="s">
        <v>90</v>
      </c>
      <c r="S52" s="959"/>
      <c r="T52" s="845" t="s">
        <v>2137</v>
      </c>
      <c r="U52" s="845" t="s">
        <v>2138</v>
      </c>
      <c r="V52" s="845" t="s">
        <v>2139</v>
      </c>
      <c r="W52" s="845" t="s">
        <v>2140</v>
      </c>
      <c r="X52" s="845"/>
      <c r="Y52" s="1002"/>
      <c r="Z52" s="848" t="s">
        <v>750</v>
      </c>
      <c r="AA52" s="851" t="s">
        <v>750</v>
      </c>
      <c r="AB52" s="851" t="s">
        <v>750</v>
      </c>
      <c r="AC52" s="851" t="s">
        <v>750</v>
      </c>
      <c r="AD52" s="848"/>
    </row>
    <row customHeight="1" ht="36">
      <c r="A53" s="847"/>
      <c r="B53" s="901">
        <v>36</v>
      </c>
      <c r="C53" s="845">
        <v>1</v>
      </c>
      <c r="D53" s="969"/>
      <c r="E53" s="845"/>
      <c r="F53" s="845"/>
      <c r="G53" s="845"/>
      <c r="H53" s="893"/>
      <c r="I53" s="1007" t="str">
        <f>INDEX(TEMPLATE_NUMBER_POINT_FHD,B53,MATCH(TEMPLATE_SPHERE,TEMPLATE_SPHERE_LIST_FOR_NOTE,0))</f>
        <v>4.1</v>
      </c>
      <c r="J53" s="1007"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7">
        <f>INDEX(TEMPLATE_NOTE_POINT_FHD,B53,MATCH(TEMPLATE_SPHERE,TEMPLATE_SPHERE_LIST_FOR_NOTE,0))</f>
        <v>0</v>
      </c>
      <c r="L53" s="846" t="str">
        <f>IF(I53=0,"",I53)</f>
        <v>4.1</v>
      </c>
      <c r="M53" s="846"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6" t="str">
        <f>IF(K53=0,"",K53)</f>
        <v/>
      </c>
      <c r="O53" s="959" t="s">
        <v>754</v>
      </c>
      <c r="P53" s="959" t="s">
        <v>324</v>
      </c>
      <c r="Q53" s="959" t="s">
        <v>324</v>
      </c>
      <c r="R53" s="959" t="s">
        <v>324</v>
      </c>
      <c r="S53" s="959"/>
      <c r="T53" s="845" t="s">
        <v>2141</v>
      </c>
      <c r="U53" s="845" t="s">
        <v>2141</v>
      </c>
      <c r="V53" s="845" t="s">
        <v>2141</v>
      </c>
      <c r="W53" s="845" t="s">
        <v>2141</v>
      </c>
      <c r="X53" s="845"/>
      <c r="Y53" s="1002"/>
      <c r="Z53" s="848"/>
      <c r="AA53" s="851"/>
      <c r="AB53" s="848"/>
      <c r="AC53" s="848"/>
      <c r="AD53" s="848"/>
    </row>
    <row customHeight="1" ht="18">
      <c r="A54" s="847"/>
      <c r="B54" s="901">
        <v>37</v>
      </c>
      <c r="C54" s="845" t="s">
        <v>2035</v>
      </c>
      <c r="D54" s="969" t="s">
        <v>2035</v>
      </c>
      <c r="E54" s="845" t="s">
        <v>2035</v>
      </c>
      <c r="F54" s="845" t="s">
        <v>2035</v>
      </c>
      <c r="G54" s="845"/>
      <c r="H54" s="893"/>
      <c r="I54" s="1007" t="str">
        <f>INDEX(TEMPLATE_NUMBER_POINT_FHD,B54,MATCH(TEMPLATE_SPHERE,TEMPLATE_SPHERE_LIST_FOR_NOTE,0))</f>
        <v>5</v>
      </c>
      <c r="J54" s="1007" t="str">
        <f>INDEX(TEMPLATE_DATA_POINT_FHD,B54,MATCH(TEMPLATE_SPHERE,TEMPLATE_SPHERE_LIST_FOR_NOTE,0))</f>
        <v>Изменение стоимости основных фондов, в том числе:</v>
      </c>
      <c r="K54" s="1007" t="str">
        <f>INDEX(TEMPLATE_NOTE_POINT_FHD,B54,MATCH(TEMPLATE_SPHERE,TEMPLATE_SPHERE_LIST_FOR_NOTE,0))</f>
        <v>Указывается общее изменение стоимости основных фондов.</v>
      </c>
      <c r="L54" s="846" t="str">
        <f>IF(I54=0,"",I54)</f>
        <v>5</v>
      </c>
      <c r="M54" s="846" t="str">
        <f>IF(J54=0,"",J54)</f>
        <v>Изменение стоимости основных фондов, в том числе:</v>
      </c>
      <c r="N54" s="846" t="str">
        <f>IF(K54=0,"",K54)</f>
        <v>Указывается общее изменение стоимости основных фондов.</v>
      </c>
      <c r="O54" s="959" t="s">
        <v>111</v>
      </c>
      <c r="P54" s="959" t="s">
        <v>91</v>
      </c>
      <c r="Q54" s="959" t="s">
        <v>91</v>
      </c>
      <c r="R54" s="959" t="s">
        <v>91</v>
      </c>
      <c r="S54" s="959"/>
      <c r="T54" s="845" t="s">
        <v>752</v>
      </c>
      <c r="U54" s="845" t="s">
        <v>752</v>
      </c>
      <c r="V54" s="845" t="s">
        <v>752</v>
      </c>
      <c r="W54" s="845" t="s">
        <v>752</v>
      </c>
      <c r="X54" s="845"/>
      <c r="Y54" s="1002"/>
      <c r="Z54" s="848" t="s">
        <v>753</v>
      </c>
      <c r="AA54" s="848" t="s">
        <v>753</v>
      </c>
      <c r="AB54" s="848" t="s">
        <v>753</v>
      </c>
      <c r="AC54" s="848" t="s">
        <v>753</v>
      </c>
      <c r="AD54" s="848"/>
    </row>
    <row customHeight="1" ht="36">
      <c r="A55" s="847"/>
      <c r="B55" s="901">
        <v>38</v>
      </c>
      <c r="C55" s="845">
        <v>1</v>
      </c>
      <c r="D55" s="969"/>
      <c r="E55" s="845"/>
      <c r="F55" s="845"/>
      <c r="G55" s="845"/>
      <c r="H55" s="893"/>
      <c r="I55" s="1007" t="str">
        <f>INDEX(TEMPLATE_NUMBER_POINT_FHD,B55,MATCH(TEMPLATE_SPHERE,TEMPLATE_SPHERE_LIST_FOR_NOTE,0))</f>
        <v>5.1</v>
      </c>
      <c r="J55" s="1007" t="str">
        <f>INDEX(TEMPLATE_DATA_POINT_FHD,B55,MATCH(TEMPLATE_SPHERE,TEMPLATE_SPHERE_LIST_FOR_NOTE,0))</f>
        <v>Изменение стоимости основных фондов за счет:</v>
      </c>
      <c r="K55" s="1007"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6" t="str">
        <f>IF(I55=0,"",I55)</f>
        <v>5.1</v>
      </c>
      <c r="M55" s="846" t="str">
        <f>IF(J55=0,"",J55)</f>
        <v>Изменение стоимости основных фондов за счет:</v>
      </c>
      <c r="N55" s="846" t="str">
        <f>IF(K55=0,"",K55)</f>
        <v>Указываются общее изменение стоимости основных фондов за счет их ввода в эксплуатацию и вывода из эксплуатации.</v>
      </c>
      <c r="O55" s="959" t="s">
        <v>313</v>
      </c>
      <c r="P55" s="959" t="s">
        <v>754</v>
      </c>
      <c r="Q55" s="959" t="s">
        <v>754</v>
      </c>
      <c r="R55" s="959" t="s">
        <v>754</v>
      </c>
      <c r="S55" s="959"/>
      <c r="T55" s="846"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5" t="s">
        <v>2142</v>
      </c>
      <c r="V55" s="845" t="s">
        <v>2142</v>
      </c>
      <c r="W55" s="845" t="s">
        <v>2142</v>
      </c>
      <c r="X55" s="845"/>
      <c r="Y55" s="1002"/>
      <c r="Z55" s="848" t="s">
        <v>2143</v>
      </c>
      <c r="AA55" s="848" t="s">
        <v>2143</v>
      </c>
      <c r="AB55" s="848" t="s">
        <v>2143</v>
      </c>
      <c r="AC55" s="848" t="s">
        <v>2143</v>
      </c>
      <c r="AD55" s="848"/>
    </row>
    <row customHeight="1" ht="27">
      <c r="A56" s="847"/>
      <c r="B56" s="901">
        <v>39</v>
      </c>
      <c r="C56" s="845" t="s">
        <v>1023</v>
      </c>
      <c r="D56" s="969"/>
      <c r="E56" s="845"/>
      <c r="F56" s="845"/>
      <c r="G56" s="845"/>
      <c r="H56" s="893"/>
      <c r="I56" s="1007" t="str">
        <f>INDEX(TEMPLATE_NUMBER_POINT_FHD,B56,MATCH(TEMPLATE_SPHERE,TEMPLATE_SPHERE_LIST_FOR_NOTE,0))</f>
        <v>5.1.1</v>
      </c>
      <c r="J56" s="1007" t="str">
        <f>INDEX(TEMPLATE_DATA_POINT_FHD,B56,MATCH(TEMPLATE_SPHERE,TEMPLATE_SPHERE_LIST_FOR_NOTE,0))</f>
        <v>Изменения стоимости основных фондов за счет их ввода в эксплуатацию</v>
      </c>
      <c r="K56" s="1007" t="str">
        <f>INDEX(TEMPLATE_NOTE_POINT_FHD,B56,MATCH(TEMPLATE_SPHERE,TEMPLATE_SPHERE_LIST_FOR_NOTE,0))</f>
        <v>Указываются изменение стоимости основных фондов за счет их ввода в эксплуатацию.</v>
      </c>
      <c r="L56" s="846" t="str">
        <f>IF(I56=0,"",I56)</f>
        <v>5.1.1</v>
      </c>
      <c r="M56" s="846" t="str">
        <f>IF(J56=0,"",J56)</f>
        <v>Изменения стоимости основных фондов за счет их ввода в эксплуатацию</v>
      </c>
      <c r="N56" s="846" t="str">
        <f>IF(K56=0,"",K56)</f>
        <v>Указываются изменение стоимости основных фондов за счет их ввода в эксплуатацию.</v>
      </c>
      <c r="O56" s="959" t="s">
        <v>1141</v>
      </c>
      <c r="P56" s="959" t="s">
        <v>757</v>
      </c>
      <c r="Q56" s="959" t="s">
        <v>757</v>
      </c>
      <c r="R56" s="959" t="s">
        <v>757</v>
      </c>
      <c r="S56" s="959"/>
      <c r="T56" s="846"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5" t="s">
        <v>2144</v>
      </c>
      <c r="V56" s="845" t="s">
        <v>2144</v>
      </c>
      <c r="W56" s="845" t="s">
        <v>2144</v>
      </c>
      <c r="X56" s="845"/>
      <c r="Y56" s="1002"/>
      <c r="Z56" s="848" t="s">
        <v>759</v>
      </c>
      <c r="AA56" s="848" t="s">
        <v>759</v>
      </c>
      <c r="AB56" s="848" t="s">
        <v>759</v>
      </c>
      <c r="AC56" s="848" t="s">
        <v>759</v>
      </c>
      <c r="AD56" s="848"/>
    </row>
    <row customHeight="1" ht="27">
      <c r="A57" s="847"/>
      <c r="B57" s="901">
        <v>40</v>
      </c>
      <c r="C57" s="845" t="s">
        <v>1025</v>
      </c>
      <c r="D57" s="969"/>
      <c r="E57" s="845"/>
      <c r="F57" s="845"/>
      <c r="G57" s="845"/>
      <c r="H57" s="893"/>
      <c r="I57" s="1007" t="str">
        <f>INDEX(TEMPLATE_NUMBER_POINT_FHD,B57,MATCH(TEMPLATE_SPHERE,TEMPLATE_SPHERE_LIST_FOR_NOTE,0))</f>
        <v>5.1.2</v>
      </c>
      <c r="J57" s="1007" t="str">
        <f>INDEX(TEMPLATE_DATA_POINT_FHD,B57,MATCH(TEMPLATE_SPHERE,TEMPLATE_SPHERE_LIST_FOR_NOTE,0))</f>
        <v>Изменения стоимости основных фондов за счет их вывода в эксплуатацию</v>
      </c>
      <c r="K57" s="1007" t="str">
        <f>INDEX(TEMPLATE_NOTE_POINT_FHD,B57,MATCH(TEMPLATE_SPHERE,TEMPLATE_SPHERE_LIST_FOR_NOTE,0))</f>
        <v>Указываются изменение стоимости основных фондов за счет их вывода из эксплуатации.</v>
      </c>
      <c r="L57" s="846" t="str">
        <f>IF(I57=0,"",I57)</f>
        <v>5.1.2</v>
      </c>
      <c r="M57" s="846" t="str">
        <f>IF(J57=0,"",J57)</f>
        <v>Изменения стоимости основных фондов за счет их вывода в эксплуатацию</v>
      </c>
      <c r="N57" s="846" t="str">
        <f>IF(K57=0,"",K57)</f>
        <v>Указываются изменение стоимости основных фондов за счет их вывода из эксплуатации.</v>
      </c>
      <c r="O57" s="959" t="s">
        <v>2145</v>
      </c>
      <c r="P57" s="959" t="s">
        <v>760</v>
      </c>
      <c r="Q57" s="959" t="s">
        <v>760</v>
      </c>
      <c r="R57" s="959" t="s">
        <v>760</v>
      </c>
      <c r="S57" s="959"/>
      <c r="T57" s="846"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5" t="s">
        <v>2146</v>
      </c>
      <c r="V57" s="845" t="s">
        <v>2146</v>
      </c>
      <c r="W57" s="845" t="s">
        <v>2146</v>
      </c>
      <c r="X57" s="845"/>
      <c r="Y57" s="1002"/>
      <c r="Z57" s="848" t="s">
        <v>762</v>
      </c>
      <c r="AA57" s="848" t="s">
        <v>762</v>
      </c>
      <c r="AB57" s="848" t="s">
        <v>762</v>
      </c>
      <c r="AC57" s="848" t="s">
        <v>762</v>
      </c>
      <c r="AD57" s="848"/>
    </row>
    <row customHeight="1" ht="18">
      <c r="A58" s="847"/>
      <c r="B58" s="901">
        <v>41</v>
      </c>
      <c r="C58" s="845">
        <v>2</v>
      </c>
      <c r="D58" s="969"/>
      <c r="E58" s="845"/>
      <c r="F58" s="845"/>
      <c r="G58" s="845"/>
      <c r="H58" s="893"/>
      <c r="I58" s="1007" t="str">
        <f>INDEX(TEMPLATE_NUMBER_POINT_FHD,B58,MATCH(TEMPLATE_SPHERE,TEMPLATE_SPHERE_LIST_FOR_NOTE,0))</f>
        <v>5.2</v>
      </c>
      <c r="J58" s="1007" t="str">
        <f>INDEX(TEMPLATE_DATA_POINT_FHD,B58,MATCH(TEMPLATE_SPHERE,TEMPLATE_SPHERE_LIST_FOR_NOTE,0))</f>
        <v>Изменение стоимости основных фондов за счет их переоценки</v>
      </c>
      <c r="K58" s="1007">
        <f>INDEX(TEMPLATE_NOTE_POINT_FHD,B58,MATCH(TEMPLATE_SPHERE,TEMPLATE_SPHERE_LIST_FOR_NOTE,0))</f>
        <v>0</v>
      </c>
      <c r="L58" s="846" t="str">
        <f>IF(I58=0,"",I58)</f>
        <v>5.2</v>
      </c>
      <c r="M58" s="846" t="str">
        <f>IF(J58=0,"",J58)</f>
        <v>Изменение стоимости основных фондов за счет их переоценки</v>
      </c>
      <c r="N58" s="846" t="str">
        <f>IF(K58=0,"",K58)</f>
        <v/>
      </c>
      <c r="O58" s="959" t="s">
        <v>882</v>
      </c>
      <c r="P58" s="959" t="s">
        <v>796</v>
      </c>
      <c r="Q58" s="959" t="s">
        <v>796</v>
      </c>
      <c r="R58" s="959" t="s">
        <v>796</v>
      </c>
      <c r="S58" s="959"/>
      <c r="T58" s="846"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5" t="s">
        <v>2147</v>
      </c>
      <c r="V58" s="845" t="s">
        <v>2147</v>
      </c>
      <c r="W58" s="845" t="s">
        <v>2147</v>
      </c>
      <c r="X58" s="845"/>
      <c r="Y58" s="1002"/>
      <c r="Z58" s="848"/>
      <c r="AA58" s="851"/>
      <c r="AB58" s="848"/>
      <c r="AC58" s="848"/>
      <c r="AD58" s="848"/>
    </row>
    <row customHeight="1" ht="36">
      <c r="A59" s="847"/>
      <c r="B59" s="901">
        <v>42</v>
      </c>
      <c r="C59" s="845">
        <v>3</v>
      </c>
      <c r="D59" s="969" t="s">
        <v>2135</v>
      </c>
      <c r="E59" s="845" t="s">
        <v>2135</v>
      </c>
      <c r="F59" s="845" t="s">
        <v>2135</v>
      </c>
      <c r="G59" s="845"/>
      <c r="H59" s="893"/>
      <c r="I59" s="1007">
        <f>INDEX(TEMPLATE_NUMBER_POINT_FHD,B59,MATCH(TEMPLATE_SPHERE,TEMPLATE_SPHERE_LIST_FOR_NOTE,0))</f>
        <v>0</v>
      </c>
      <c r="J59" s="1007">
        <f>INDEX(TEMPLATE_DATA_POINT_FHD,B59,MATCH(TEMPLATE_SPHERE,TEMPLATE_SPHERE_LIST_FOR_NOTE,0))</f>
        <v>0</v>
      </c>
      <c r="K59" s="1007">
        <f>INDEX(TEMPLATE_NOTE_POINT_FHD,B59,MATCH(TEMPLATE_SPHERE,TEMPLATE_SPHERE_LIST_FOR_NOTE,0))</f>
        <v>0</v>
      </c>
      <c r="L59" s="846" t="str">
        <f>IF(I59=0,"",I59)</f>
        <v/>
      </c>
      <c r="M59" s="846" t="str">
        <f>IF(J59=0,"",J59)</f>
        <v/>
      </c>
      <c r="N59" s="846" t="str">
        <f>IF(K59=0,"",K59)</f>
        <v/>
      </c>
      <c r="O59" s="959"/>
      <c r="P59" s="959" t="s">
        <v>111</v>
      </c>
      <c r="Q59" s="959" t="s">
        <v>111</v>
      </c>
      <c r="R59" s="959" t="s">
        <v>111</v>
      </c>
      <c r="S59" s="959"/>
      <c r="T59" s="845"/>
      <c r="U59" s="845" t="s">
        <v>2148</v>
      </c>
      <c r="V59" s="845" t="s">
        <v>2149</v>
      </c>
      <c r="W59" s="845" t="s">
        <v>2150</v>
      </c>
      <c r="X59" s="845"/>
      <c r="Y59" s="1002"/>
      <c r="Z59" s="848"/>
      <c r="AA59" s="851"/>
      <c r="AB59" s="848"/>
      <c r="AC59" s="848"/>
      <c r="AD59" s="848"/>
    </row>
    <row customHeight="1" ht="81">
      <c r="A60" s="847"/>
      <c r="B60" s="901">
        <v>43</v>
      </c>
      <c r="C60" s="845" t="s">
        <v>2151</v>
      </c>
      <c r="D60" s="969" t="s">
        <v>2151</v>
      </c>
      <c r="E60" s="845" t="s">
        <v>2151</v>
      </c>
      <c r="F60" s="845" t="s">
        <v>2151</v>
      </c>
      <c r="G60" s="845"/>
      <c r="H60" s="893"/>
      <c r="I60" s="1007" t="str">
        <f>INDEX(TEMPLATE_NUMBER_POINT_FHD,B60,MATCH(TEMPLATE_SPHERE,TEMPLATE_SPHERE_LIST_FOR_NOTE,0))</f>
        <v>6</v>
      </c>
      <c r="J60" s="1007"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7"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6" t="str">
        <f>IF(I60=0,"",I60)</f>
        <v>6</v>
      </c>
      <c r="M60" s="846" t="str">
        <f>IF(J60=0,"",J60)</f>
        <v>Годовая бухгалтерская (финансовая) отчетность, включая бухгалтерский баланс и приложения к нему</v>
      </c>
      <c r="N60" s="846"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9" t="s">
        <v>92</v>
      </c>
      <c r="P60" s="959" t="s">
        <v>92</v>
      </c>
      <c r="Q60" s="959" t="s">
        <v>92</v>
      </c>
      <c r="R60" s="959" t="s">
        <v>92</v>
      </c>
      <c r="S60" s="959"/>
      <c r="T60" s="845" t="s">
        <v>629</v>
      </c>
      <c r="U60" s="845" t="s">
        <v>629</v>
      </c>
      <c r="V60" s="845" t="s">
        <v>629</v>
      </c>
      <c r="W60" s="845" t="s">
        <v>629</v>
      </c>
      <c r="X60" s="845"/>
      <c r="Y60" s="1002"/>
      <c r="Z60" s="848" t="s">
        <v>2152</v>
      </c>
      <c r="AA60" s="851" t="s">
        <v>2153</v>
      </c>
      <c r="AB60" s="848" t="s">
        <v>2154</v>
      </c>
      <c r="AC60" s="848" t="s">
        <v>2153</v>
      </c>
      <c r="AD60" s="848"/>
    </row>
    <row customHeight="1" ht="9">
      <c r="A61" s="847"/>
      <c r="B61" s="901">
        <v>44</v>
      </c>
      <c r="C61" s="845"/>
      <c r="D61" s="969" t="s">
        <v>2155</v>
      </c>
      <c r="E61" s="845"/>
      <c r="F61" s="845"/>
      <c r="G61" s="845"/>
      <c r="H61" s="893"/>
      <c r="I61" s="1007">
        <f>INDEX(TEMPLATE_NUMBER_POINT_FHD,B61,MATCH(TEMPLATE_SPHERE,TEMPLATE_SPHERE_LIST_FOR_NOTE,0))</f>
        <v>0</v>
      </c>
      <c r="J61" s="1007">
        <f>INDEX(TEMPLATE_DATA_POINT_FHD,B61,MATCH(TEMPLATE_SPHERE,TEMPLATE_SPHERE_LIST_FOR_NOTE,0))</f>
        <v>0</v>
      </c>
      <c r="K61" s="1007">
        <f>INDEX(TEMPLATE_NOTE_POINT_FHD,B61,MATCH(TEMPLATE_SPHERE,TEMPLATE_SPHERE_LIST_FOR_NOTE,0))</f>
        <v>0</v>
      </c>
      <c r="L61" s="846" t="str">
        <f>IF(I61=0,"",I61)</f>
        <v/>
      </c>
      <c r="M61" s="846" t="str">
        <f>IF(J61=0,"",J61)</f>
        <v/>
      </c>
      <c r="N61" s="846" t="str">
        <f>IF(K61=0,"",K61)</f>
        <v/>
      </c>
      <c r="O61" s="959"/>
      <c r="P61" s="959" t="s">
        <v>93</v>
      </c>
      <c r="Q61" s="959"/>
      <c r="R61" s="959"/>
      <c r="S61" s="959"/>
      <c r="T61" s="845"/>
      <c r="U61" s="845" t="s">
        <v>2156</v>
      </c>
      <c r="V61" s="845"/>
      <c r="W61" s="845"/>
      <c r="X61" s="845"/>
      <c r="Y61" s="1002"/>
      <c r="Z61" s="848"/>
      <c r="AA61" s="851"/>
      <c r="AB61" s="848"/>
      <c r="AC61" s="848"/>
      <c r="AD61" s="848"/>
    </row>
    <row customHeight="1" ht="9">
      <c r="A62" s="847"/>
      <c r="B62" s="901">
        <v>45</v>
      </c>
      <c r="C62" s="845"/>
      <c r="D62" s="969" t="s">
        <v>2157</v>
      </c>
      <c r="E62" s="845"/>
      <c r="F62" s="845"/>
      <c r="G62" s="845"/>
      <c r="H62" s="893"/>
      <c r="I62" s="1007">
        <f>INDEX(TEMPLATE_NUMBER_POINT_FHD,B62,MATCH(TEMPLATE_SPHERE,TEMPLATE_SPHERE_LIST_FOR_NOTE,0))</f>
        <v>0</v>
      </c>
      <c r="J62" s="1007">
        <f>INDEX(TEMPLATE_DATA_POINT_FHD,B62,MATCH(TEMPLATE_SPHERE,TEMPLATE_SPHERE_LIST_FOR_NOTE,0))</f>
        <v>0</v>
      </c>
      <c r="K62" s="1007">
        <f>INDEX(TEMPLATE_NOTE_POINT_FHD,B62,MATCH(TEMPLATE_SPHERE,TEMPLATE_SPHERE_LIST_FOR_NOTE,0))</f>
        <v>0</v>
      </c>
      <c r="L62" s="846" t="str">
        <f>IF(I62=0,"",I62)</f>
        <v/>
      </c>
      <c r="M62" s="846" t="str">
        <f>IF(J62=0,"",J62)</f>
        <v/>
      </c>
      <c r="N62" s="846" t="str">
        <f>IF(K62=0,"",K62)</f>
        <v/>
      </c>
      <c r="O62" s="959"/>
      <c r="P62" s="959" t="s">
        <v>112</v>
      </c>
      <c r="Q62" s="959"/>
      <c r="R62" s="959"/>
      <c r="S62" s="959"/>
      <c r="T62" s="845"/>
      <c r="U62" s="845" t="s">
        <v>2158</v>
      </c>
      <c r="V62" s="845"/>
      <c r="W62" s="845"/>
      <c r="X62" s="845"/>
      <c r="Y62" s="1002"/>
      <c r="Z62" s="848"/>
      <c r="AA62" s="851"/>
      <c r="AB62" s="848"/>
      <c r="AC62" s="848"/>
      <c r="AD62" s="848"/>
    </row>
    <row customHeight="1" ht="18">
      <c r="A63" s="847"/>
      <c r="B63" s="901">
        <v>46</v>
      </c>
      <c r="C63" s="845"/>
      <c r="D63" s="969" t="s">
        <v>2159</v>
      </c>
      <c r="E63" s="845"/>
      <c r="F63" s="845"/>
      <c r="G63" s="845"/>
      <c r="H63" s="893"/>
      <c r="I63" s="1007">
        <f>INDEX(TEMPLATE_NUMBER_POINT_FHD,B63,MATCH(TEMPLATE_SPHERE,TEMPLATE_SPHERE_LIST_FOR_NOTE,0))</f>
        <v>0</v>
      </c>
      <c r="J63" s="1007">
        <f>INDEX(TEMPLATE_DATA_POINT_FHD,B63,MATCH(TEMPLATE_SPHERE,TEMPLATE_SPHERE_LIST_FOR_NOTE,0))</f>
        <v>0</v>
      </c>
      <c r="K63" s="1007">
        <f>INDEX(TEMPLATE_NOTE_POINT_FHD,B63,MATCH(TEMPLATE_SPHERE,TEMPLATE_SPHERE_LIST_FOR_NOTE,0))</f>
        <v>0</v>
      </c>
      <c r="L63" s="846" t="str">
        <f>IF(I63=0,"",I63)</f>
        <v/>
      </c>
      <c r="M63" s="846" t="str">
        <f>IF(J63=0,"",J63)</f>
        <v/>
      </c>
      <c r="N63" s="846" t="str">
        <f>IF(K63=0,"",K63)</f>
        <v/>
      </c>
      <c r="O63" s="959"/>
      <c r="P63" s="959" t="s">
        <v>150</v>
      </c>
      <c r="Q63" s="959"/>
      <c r="R63" s="959"/>
      <c r="S63" s="959"/>
      <c r="T63" s="845"/>
      <c r="U63" s="845" t="s">
        <v>2160</v>
      </c>
      <c r="V63" s="845"/>
      <c r="W63" s="845"/>
      <c r="X63" s="845"/>
      <c r="Y63" s="1002"/>
      <c r="Z63" s="848"/>
      <c r="AA63" s="851"/>
      <c r="AB63" s="848"/>
      <c r="AC63" s="848"/>
      <c r="AD63" s="848"/>
    </row>
    <row customHeight="1" ht="18">
      <c r="A64" s="847"/>
      <c r="B64" s="901">
        <v>47</v>
      </c>
      <c r="C64" s="845"/>
      <c r="D64" s="969" t="s">
        <v>2161</v>
      </c>
      <c r="E64" s="845"/>
      <c r="F64" s="845"/>
      <c r="G64" s="845"/>
      <c r="H64" s="893"/>
      <c r="I64" s="1007">
        <f>INDEX(TEMPLATE_NUMBER_POINT_FHD,B64,MATCH(TEMPLATE_SPHERE,TEMPLATE_SPHERE_LIST_FOR_NOTE,0))</f>
        <v>0</v>
      </c>
      <c r="J64" s="1007">
        <f>INDEX(TEMPLATE_DATA_POINT_FHD,B64,MATCH(TEMPLATE_SPHERE,TEMPLATE_SPHERE_LIST_FOR_NOTE,0))</f>
        <v>0</v>
      </c>
      <c r="K64" s="1007">
        <f>INDEX(TEMPLATE_NOTE_POINT_FHD,B64,MATCH(TEMPLATE_SPHERE,TEMPLATE_SPHERE_LIST_FOR_NOTE,0))</f>
        <v>0</v>
      </c>
      <c r="L64" s="846" t="str">
        <f>IF(I64=0,"",I64)</f>
        <v/>
      </c>
      <c r="M64" s="846" t="str">
        <f>IF(J64=0,"",J64)</f>
        <v/>
      </c>
      <c r="N64" s="846" t="str">
        <f>IF(K64=0,"",K64)</f>
        <v/>
      </c>
      <c r="O64" s="959"/>
      <c r="P64" s="959" t="s">
        <v>151</v>
      </c>
      <c r="Q64" s="959"/>
      <c r="R64" s="959"/>
      <c r="S64" s="959"/>
      <c r="T64" s="845"/>
      <c r="U64" s="845" t="s">
        <v>2162</v>
      </c>
      <c r="V64" s="845"/>
      <c r="W64" s="845"/>
      <c r="X64" s="845"/>
      <c r="Y64" s="1002"/>
      <c r="Z64" s="848"/>
      <c r="AA64" s="851" t="s">
        <v>2163</v>
      </c>
      <c r="AB64" s="848"/>
      <c r="AC64" s="848"/>
      <c r="AD64" s="848"/>
    </row>
    <row customHeight="1" ht="18">
      <c r="A65" s="847"/>
      <c r="B65" s="901">
        <v>48</v>
      </c>
      <c r="C65" s="845"/>
      <c r="D65" s="969"/>
      <c r="E65" s="845"/>
      <c r="F65" s="845"/>
      <c r="G65" s="845"/>
      <c r="H65" s="893"/>
      <c r="I65" s="1007">
        <f>INDEX(TEMPLATE_NUMBER_POINT_FHD,B65,MATCH(TEMPLATE_SPHERE,TEMPLATE_SPHERE_LIST_FOR_NOTE,0))</f>
        <v>0</v>
      </c>
      <c r="J65" s="1007">
        <f>INDEX(TEMPLATE_DATA_POINT_FHD,B65,MATCH(TEMPLATE_SPHERE,TEMPLATE_SPHERE_LIST_FOR_NOTE,0))</f>
        <v>0</v>
      </c>
      <c r="K65" s="1007">
        <f>INDEX(TEMPLATE_NOTE_POINT_FHD,B65,MATCH(TEMPLATE_SPHERE,TEMPLATE_SPHERE_LIST_FOR_NOTE,0))</f>
        <v>0</v>
      </c>
      <c r="L65" s="846" t="str">
        <f>IF(I65=0,"",I65)</f>
        <v/>
      </c>
      <c r="M65" s="846" t="str">
        <f>IF(J65=0,"",J65)</f>
        <v/>
      </c>
      <c r="N65" s="846" t="str">
        <f>IF(K65=0,"",K65)</f>
        <v/>
      </c>
      <c r="O65" s="959"/>
      <c r="P65" s="959" t="s">
        <v>2076</v>
      </c>
      <c r="Q65" s="959"/>
      <c r="R65" s="959"/>
      <c r="S65" s="959"/>
      <c r="T65" s="845"/>
      <c r="U65" s="845" t="s">
        <v>2164</v>
      </c>
      <c r="V65" s="845"/>
      <c r="W65" s="845"/>
      <c r="X65" s="845"/>
      <c r="Y65" s="1002"/>
      <c r="Z65" s="848"/>
      <c r="AA65" s="851"/>
      <c r="AB65" s="848"/>
      <c r="AC65" s="848"/>
      <c r="AD65" s="848"/>
    </row>
    <row customHeight="1" ht="18">
      <c r="A66" s="847"/>
      <c r="B66" s="901">
        <v>49</v>
      </c>
      <c r="C66" s="845"/>
      <c r="D66" s="969"/>
      <c r="E66" s="845"/>
      <c r="F66" s="845"/>
      <c r="G66" s="845"/>
      <c r="H66" s="893"/>
      <c r="I66" s="1007">
        <f>INDEX(TEMPLATE_NUMBER_POINT_FHD,B66,MATCH(TEMPLATE_SPHERE,TEMPLATE_SPHERE_LIST_FOR_NOTE,0))</f>
        <v>0</v>
      </c>
      <c r="J66" s="1007">
        <f>INDEX(TEMPLATE_DATA_POINT_FHD,B66,MATCH(TEMPLATE_SPHERE,TEMPLATE_SPHERE_LIST_FOR_NOTE,0))</f>
        <v>0</v>
      </c>
      <c r="K66" s="1007">
        <f>INDEX(TEMPLATE_NOTE_POINT_FHD,B66,MATCH(TEMPLATE_SPHERE,TEMPLATE_SPHERE_LIST_FOR_NOTE,0))</f>
        <v>0</v>
      </c>
      <c r="L66" s="846" t="str">
        <f>IF(I66=0,"",I66)</f>
        <v/>
      </c>
      <c r="M66" s="846" t="str">
        <f>IF(J66=0,"",J66)</f>
        <v/>
      </c>
      <c r="N66" s="846" t="str">
        <f>IF(K66=0,"",K66)</f>
        <v/>
      </c>
      <c r="O66" s="959"/>
      <c r="P66" s="959" t="s">
        <v>2080</v>
      </c>
      <c r="Q66" s="959"/>
      <c r="R66" s="959"/>
      <c r="S66" s="959"/>
      <c r="T66" s="845"/>
      <c r="U66" s="845" t="s">
        <v>2165</v>
      </c>
      <c r="V66" s="845"/>
      <c r="W66" s="845"/>
      <c r="X66" s="845"/>
      <c r="Y66" s="1002"/>
      <c r="Z66" s="848"/>
      <c r="AA66" s="851"/>
      <c r="AB66" s="848"/>
      <c r="AC66" s="848"/>
      <c r="AD66" s="848"/>
    </row>
    <row customHeight="1" ht="27">
      <c r="A67" s="847"/>
      <c r="B67" s="901">
        <v>50</v>
      </c>
      <c r="C67" s="845"/>
      <c r="D67" s="969"/>
      <c r="E67" s="845"/>
      <c r="F67" s="845"/>
      <c r="G67" s="845"/>
      <c r="H67" s="893"/>
      <c r="I67" s="1007">
        <f>INDEX(TEMPLATE_NUMBER_POINT_FHD,B67,MATCH(TEMPLATE_SPHERE,TEMPLATE_SPHERE_LIST_FOR_NOTE,0))</f>
        <v>0</v>
      </c>
      <c r="J67" s="1007">
        <f>INDEX(TEMPLATE_DATA_POINT_FHD,B67,MATCH(TEMPLATE_SPHERE,TEMPLATE_SPHERE_LIST_FOR_NOTE,0))</f>
        <v>0</v>
      </c>
      <c r="K67" s="1007">
        <f>INDEX(TEMPLATE_NOTE_POINT_FHD,B67,MATCH(TEMPLATE_SPHERE,TEMPLATE_SPHERE_LIST_FOR_NOTE,0))</f>
        <v>0</v>
      </c>
      <c r="L67" s="846" t="str">
        <f>IF(I67=0,"",I67)</f>
        <v/>
      </c>
      <c r="M67" s="846" t="str">
        <f>IF(J67=0,"",J67)</f>
        <v/>
      </c>
      <c r="N67" s="846" t="str">
        <f>IF(K67=0,"",K67)</f>
        <v/>
      </c>
      <c r="O67" s="959"/>
      <c r="P67" s="959" t="s">
        <v>2166</v>
      </c>
      <c r="Q67" s="959"/>
      <c r="R67" s="959"/>
      <c r="S67" s="959"/>
      <c r="T67" s="845"/>
      <c r="U67" s="845" t="s">
        <v>2167</v>
      </c>
      <c r="V67" s="845"/>
      <c r="W67" s="845"/>
      <c r="X67" s="845"/>
      <c r="Y67" s="1002"/>
      <c r="Z67" s="848"/>
      <c r="AA67" s="851"/>
      <c r="AB67" s="848"/>
      <c r="AC67" s="848"/>
      <c r="AD67" s="848"/>
    </row>
    <row customHeight="1" ht="27">
      <c r="A68" s="847"/>
      <c r="B68" s="901">
        <v>51</v>
      </c>
      <c r="C68" s="845"/>
      <c r="D68" s="969"/>
      <c r="E68" s="845"/>
      <c r="F68" s="845"/>
      <c r="G68" s="845"/>
      <c r="H68" s="893"/>
      <c r="I68" s="1007">
        <f>INDEX(TEMPLATE_NUMBER_POINT_FHD,B68,MATCH(TEMPLATE_SPHERE,TEMPLATE_SPHERE_LIST_FOR_NOTE,0))</f>
        <v>0</v>
      </c>
      <c r="J68" s="1007">
        <f>INDEX(TEMPLATE_DATA_POINT_FHD,B68,MATCH(TEMPLATE_SPHERE,TEMPLATE_SPHERE_LIST_FOR_NOTE,0))</f>
        <v>0</v>
      </c>
      <c r="K68" s="1007">
        <f>INDEX(TEMPLATE_NOTE_POINT_FHD,B68,MATCH(TEMPLATE_SPHERE,TEMPLATE_SPHERE_LIST_FOR_NOTE,0))</f>
        <v>0</v>
      </c>
      <c r="L68" s="846" t="str">
        <f>IF(I68=0,"",I68)</f>
        <v/>
      </c>
      <c r="M68" s="846" t="str">
        <f>IF(J68=0,"",J68)</f>
        <v/>
      </c>
      <c r="N68" s="846" t="str">
        <f>IF(K68=0,"",K68)</f>
        <v/>
      </c>
      <c r="O68" s="959"/>
      <c r="P68" s="959" t="s">
        <v>2168</v>
      </c>
      <c r="Q68" s="959"/>
      <c r="R68" s="959"/>
      <c r="S68" s="959"/>
      <c r="T68" s="845"/>
      <c r="U68" s="845" t="s">
        <v>2169</v>
      </c>
      <c r="V68" s="845"/>
      <c r="W68" s="845"/>
      <c r="X68" s="845"/>
      <c r="Y68" s="1002"/>
      <c r="Z68" s="848"/>
      <c r="AA68" s="851"/>
      <c r="AB68" s="848"/>
      <c r="AC68" s="848"/>
      <c r="AD68" s="848"/>
    </row>
    <row customHeight="1" ht="9">
      <c r="A69" s="847"/>
      <c r="B69" s="901">
        <v>52</v>
      </c>
      <c r="C69" s="845"/>
      <c r="D69" s="969" t="s">
        <v>2170</v>
      </c>
      <c r="E69" s="845"/>
      <c r="F69" s="845"/>
      <c r="G69" s="845"/>
      <c r="H69" s="893"/>
      <c r="I69" s="1007">
        <f>INDEX(TEMPLATE_NUMBER_POINT_FHD,B69,MATCH(TEMPLATE_SPHERE,TEMPLATE_SPHERE_LIST_FOR_NOTE,0))</f>
        <v>0</v>
      </c>
      <c r="J69" s="1007">
        <f>INDEX(TEMPLATE_DATA_POINT_FHD,B69,MATCH(TEMPLATE_SPHERE,TEMPLATE_SPHERE_LIST_FOR_NOTE,0))</f>
        <v>0</v>
      </c>
      <c r="K69" s="1007">
        <f>INDEX(TEMPLATE_NOTE_POINT_FHD,B69,MATCH(TEMPLATE_SPHERE,TEMPLATE_SPHERE_LIST_FOR_NOTE,0))</f>
        <v>0</v>
      </c>
      <c r="L69" s="846" t="str">
        <f>IF(I69=0,"",I69)</f>
        <v/>
      </c>
      <c r="M69" s="846" t="str">
        <f>IF(J69=0,"",J69)</f>
        <v/>
      </c>
      <c r="N69" s="846" t="str">
        <f>IF(K69=0,"",K69)</f>
        <v/>
      </c>
      <c r="O69" s="959"/>
      <c r="P69" s="959" t="s">
        <v>152</v>
      </c>
      <c r="Q69" s="959"/>
      <c r="R69" s="959"/>
      <c r="S69" s="959"/>
      <c r="T69" s="845"/>
      <c r="U69" s="845" t="s">
        <v>2171</v>
      </c>
      <c r="V69" s="845"/>
      <c r="W69" s="845"/>
      <c r="X69" s="845"/>
      <c r="Y69" s="1002"/>
      <c r="Z69" s="848"/>
      <c r="AA69" s="851"/>
      <c r="AB69" s="848"/>
      <c r="AC69" s="848"/>
      <c r="AD69" s="848"/>
    </row>
    <row customHeight="1" ht="27">
      <c r="A70" s="847"/>
      <c r="B70" s="901">
        <v>53</v>
      </c>
      <c r="C70" s="845"/>
      <c r="D70" s="969"/>
      <c r="E70" s="845" t="s">
        <v>2155</v>
      </c>
      <c r="F70" s="845"/>
      <c r="G70" s="845"/>
      <c r="H70" s="893"/>
      <c r="I70" s="1007">
        <f>INDEX(TEMPLATE_NUMBER_POINT_FHD,B70,MATCH(TEMPLATE_SPHERE,TEMPLATE_SPHERE_LIST_FOR_NOTE,0))</f>
        <v>0</v>
      </c>
      <c r="J70" s="1007">
        <f>INDEX(TEMPLATE_DATA_POINT_FHD,B70,MATCH(TEMPLATE_SPHERE,TEMPLATE_SPHERE_LIST_FOR_NOTE,0))</f>
        <v>0</v>
      </c>
      <c r="K70" s="1007">
        <f>INDEX(TEMPLATE_NOTE_POINT_FHD,B70,MATCH(TEMPLATE_SPHERE,TEMPLATE_SPHERE_LIST_FOR_NOTE,0))</f>
        <v>0</v>
      </c>
      <c r="L70" s="846" t="str">
        <f>IF(I70=0,"",I70)</f>
        <v/>
      </c>
      <c r="M70" s="846" t="str">
        <f>IF(J70=0,"",J70)</f>
        <v/>
      </c>
      <c r="N70" s="846" t="str">
        <f>IF(K70=0,"",K70)</f>
        <v/>
      </c>
      <c r="O70" s="959"/>
      <c r="P70" s="959"/>
      <c r="Q70" s="959" t="s">
        <v>93</v>
      </c>
      <c r="R70" s="959"/>
      <c r="S70" s="959"/>
      <c r="T70" s="845"/>
      <c r="U70" s="845"/>
      <c r="V70" s="845" t="s">
        <v>2172</v>
      </c>
      <c r="W70" s="845"/>
      <c r="X70" s="845"/>
      <c r="Y70" s="1002"/>
      <c r="Z70" s="848"/>
      <c r="AA70" s="851"/>
      <c r="AB70" s="848"/>
      <c r="AC70" s="848"/>
      <c r="AD70" s="848"/>
    </row>
    <row customHeight="1" ht="36">
      <c r="A71" s="847"/>
      <c r="B71" s="901">
        <v>54</v>
      </c>
      <c r="C71" s="845"/>
      <c r="D71" s="969"/>
      <c r="E71" s="845" t="s">
        <v>2157</v>
      </c>
      <c r="F71" s="845"/>
      <c r="G71" s="845"/>
      <c r="H71" s="893"/>
      <c r="I71" s="1007">
        <f>INDEX(TEMPLATE_NUMBER_POINT_FHD,B71,MATCH(TEMPLATE_SPHERE,TEMPLATE_SPHERE_LIST_FOR_NOTE,0))</f>
        <v>0</v>
      </c>
      <c r="J71" s="1007">
        <f>INDEX(TEMPLATE_DATA_POINT_FHD,B71,MATCH(TEMPLATE_SPHERE,TEMPLATE_SPHERE_LIST_FOR_NOTE,0))</f>
        <v>0</v>
      </c>
      <c r="K71" s="1007">
        <f>INDEX(TEMPLATE_NOTE_POINT_FHD,B71,MATCH(TEMPLATE_SPHERE,TEMPLATE_SPHERE_LIST_FOR_NOTE,0))</f>
        <v>0</v>
      </c>
      <c r="L71" s="846" t="str">
        <f>IF(I71=0,"",I71)</f>
        <v/>
      </c>
      <c r="M71" s="846" t="str">
        <f>IF(J71=0,"",J71)</f>
        <v/>
      </c>
      <c r="N71" s="846" t="str">
        <f>IF(K71=0,"",K71)</f>
        <v/>
      </c>
      <c r="O71" s="959"/>
      <c r="P71" s="959"/>
      <c r="Q71" s="959" t="s">
        <v>112</v>
      </c>
      <c r="R71" s="959"/>
      <c r="S71" s="959"/>
      <c r="T71" s="845"/>
      <c r="U71" s="845"/>
      <c r="V71" s="845" t="s">
        <v>2173</v>
      </c>
      <c r="W71" s="845"/>
      <c r="X71" s="845"/>
      <c r="Y71" s="1002"/>
      <c r="Z71" s="848"/>
      <c r="AA71" s="851"/>
      <c r="AB71" s="848"/>
      <c r="AC71" s="848"/>
      <c r="AD71" s="848"/>
    </row>
    <row customHeight="1" ht="27">
      <c r="A72" s="847"/>
      <c r="B72" s="901">
        <v>55</v>
      </c>
      <c r="C72" s="845"/>
      <c r="D72" s="969"/>
      <c r="E72" s="845" t="s">
        <v>2159</v>
      </c>
      <c r="F72" s="845"/>
      <c r="G72" s="845"/>
      <c r="H72" s="893"/>
      <c r="I72" s="1007">
        <f>INDEX(TEMPLATE_NUMBER_POINT_FHD,B72,MATCH(TEMPLATE_SPHERE,TEMPLATE_SPHERE_LIST_FOR_NOTE,0))</f>
        <v>0</v>
      </c>
      <c r="J72" s="1007">
        <f>INDEX(TEMPLATE_DATA_POINT_FHD,B72,MATCH(TEMPLATE_SPHERE,TEMPLATE_SPHERE_LIST_FOR_NOTE,0))</f>
        <v>0</v>
      </c>
      <c r="K72" s="1007">
        <f>INDEX(TEMPLATE_NOTE_POINT_FHD,B72,MATCH(TEMPLATE_SPHERE,TEMPLATE_SPHERE_LIST_FOR_NOTE,0))</f>
        <v>0</v>
      </c>
      <c r="L72" s="846" t="str">
        <f>IF(I72=0,"",I72)</f>
        <v/>
      </c>
      <c r="M72" s="846" t="str">
        <f>IF(J72=0,"",J72)</f>
        <v/>
      </c>
      <c r="N72" s="846" t="str">
        <f>IF(K72=0,"",K72)</f>
        <v/>
      </c>
      <c r="O72" s="959"/>
      <c r="P72" s="959"/>
      <c r="Q72" s="959" t="s">
        <v>150</v>
      </c>
      <c r="R72" s="959"/>
      <c r="S72" s="959"/>
      <c r="T72" s="845"/>
      <c r="U72" s="845"/>
      <c r="V72" s="845" t="s">
        <v>2174</v>
      </c>
      <c r="W72" s="845"/>
      <c r="X72" s="845"/>
      <c r="Y72" s="1002"/>
      <c r="Z72" s="848"/>
      <c r="AA72" s="851"/>
      <c r="AB72" s="848"/>
      <c r="AC72" s="848"/>
      <c r="AD72" s="848"/>
    </row>
    <row customHeight="1" ht="36">
      <c r="A73" s="847"/>
      <c r="B73" s="901">
        <v>56</v>
      </c>
      <c r="C73" s="845"/>
      <c r="D73" s="969"/>
      <c r="E73" s="845" t="s">
        <v>2161</v>
      </c>
      <c r="F73" s="845"/>
      <c r="G73" s="845"/>
      <c r="H73" s="893"/>
      <c r="I73" s="1007">
        <f>INDEX(TEMPLATE_NUMBER_POINT_FHD,B73,MATCH(TEMPLATE_SPHERE,TEMPLATE_SPHERE_LIST_FOR_NOTE,0))</f>
        <v>0</v>
      </c>
      <c r="J73" s="1007">
        <f>INDEX(TEMPLATE_DATA_POINT_FHD,B73,MATCH(TEMPLATE_SPHERE,TEMPLATE_SPHERE_LIST_FOR_NOTE,0))</f>
        <v>0</v>
      </c>
      <c r="K73" s="1007">
        <f>INDEX(TEMPLATE_NOTE_POINT_FHD,B73,MATCH(TEMPLATE_SPHERE,TEMPLATE_SPHERE_LIST_FOR_NOTE,0))</f>
        <v>0</v>
      </c>
      <c r="L73" s="846" t="str">
        <f>IF(I73=0,"",I73)</f>
        <v/>
      </c>
      <c r="M73" s="846" t="str">
        <f>IF(J73=0,"",J73)</f>
        <v/>
      </c>
      <c r="N73" s="846" t="str">
        <f>IF(K73=0,"",K73)</f>
        <v/>
      </c>
      <c r="O73" s="959"/>
      <c r="P73" s="959"/>
      <c r="Q73" s="959" t="s">
        <v>151</v>
      </c>
      <c r="R73" s="959"/>
      <c r="S73" s="959"/>
      <c r="T73" s="845"/>
      <c r="U73" s="845"/>
      <c r="V73" s="845" t="s">
        <v>2175</v>
      </c>
      <c r="W73" s="845"/>
      <c r="X73" s="845"/>
      <c r="Y73" s="1002"/>
      <c r="Z73" s="848"/>
      <c r="AA73" s="851"/>
      <c r="AB73" s="848"/>
      <c r="AC73" s="848"/>
      <c r="AD73" s="848"/>
    </row>
    <row customHeight="1" ht="18">
      <c r="A74" s="847"/>
      <c r="B74" s="901">
        <v>57</v>
      </c>
      <c r="C74" s="845"/>
      <c r="D74" s="969"/>
      <c r="E74" s="845" t="s">
        <v>2170</v>
      </c>
      <c r="F74" s="845"/>
      <c r="G74" s="845"/>
      <c r="H74" s="893"/>
      <c r="I74" s="1007">
        <f>INDEX(TEMPLATE_NUMBER_POINT_FHD,B74,MATCH(TEMPLATE_SPHERE,TEMPLATE_SPHERE_LIST_FOR_NOTE,0))</f>
        <v>0</v>
      </c>
      <c r="J74" s="1007">
        <f>INDEX(TEMPLATE_DATA_POINT_FHD,B74,MATCH(TEMPLATE_SPHERE,TEMPLATE_SPHERE_LIST_FOR_NOTE,0))</f>
        <v>0</v>
      </c>
      <c r="K74" s="1007">
        <f>INDEX(TEMPLATE_NOTE_POINT_FHD,B74,MATCH(TEMPLATE_SPHERE,TEMPLATE_SPHERE_LIST_FOR_NOTE,0))</f>
        <v>0</v>
      </c>
      <c r="L74" s="846" t="str">
        <f>IF(I74=0,"",I74)</f>
        <v/>
      </c>
      <c r="M74" s="846" t="str">
        <f>IF(J74=0,"",J74)</f>
        <v/>
      </c>
      <c r="N74" s="846" t="str">
        <f>IF(K74=0,"",K74)</f>
        <v/>
      </c>
      <c r="O74" s="959"/>
      <c r="P74" s="959"/>
      <c r="Q74" s="959" t="s">
        <v>152</v>
      </c>
      <c r="R74" s="959"/>
      <c r="S74" s="959"/>
      <c r="T74" s="845"/>
      <c r="U74" s="845"/>
      <c r="V74" s="845" t="s">
        <v>2176</v>
      </c>
      <c r="W74" s="845"/>
      <c r="X74" s="845"/>
      <c r="Y74" s="1002"/>
      <c r="Z74" s="848"/>
      <c r="AA74" s="851"/>
      <c r="AB74" s="848"/>
      <c r="AC74" s="848"/>
      <c r="AD74" s="848"/>
    </row>
    <row customHeight="1" ht="18">
      <c r="A75" s="847"/>
      <c r="B75" s="901">
        <v>58</v>
      </c>
      <c r="C75" s="845"/>
      <c r="D75" s="969"/>
      <c r="E75" s="845"/>
      <c r="F75" s="845" t="s">
        <v>2155</v>
      </c>
      <c r="G75" s="845"/>
      <c r="H75" s="893"/>
      <c r="I75" s="1007">
        <f>INDEX(TEMPLATE_NUMBER_POINT_FHD,B75,MATCH(TEMPLATE_SPHERE,TEMPLATE_SPHERE_LIST_FOR_NOTE,0))</f>
        <v>0</v>
      </c>
      <c r="J75" s="1007">
        <f>INDEX(TEMPLATE_DATA_POINT_FHD,B75,MATCH(TEMPLATE_SPHERE,TEMPLATE_SPHERE_LIST_FOR_NOTE,0))</f>
        <v>0</v>
      </c>
      <c r="K75" s="1007">
        <f>INDEX(TEMPLATE_NOTE_POINT_FHD,B75,MATCH(TEMPLATE_SPHERE,TEMPLATE_SPHERE_LIST_FOR_NOTE,0))</f>
        <v>0</v>
      </c>
      <c r="L75" s="846" t="str">
        <f>IF(I75=0,"",I75)</f>
        <v/>
      </c>
      <c r="M75" s="846" t="str">
        <f>IF(J75=0,"",J75)</f>
        <v/>
      </c>
      <c r="N75" s="846" t="str">
        <f>IF(K75=0,"",K75)</f>
        <v/>
      </c>
      <c r="O75" s="959"/>
      <c r="P75" s="959"/>
      <c r="Q75" s="959"/>
      <c r="R75" s="959" t="s">
        <v>93</v>
      </c>
      <c r="S75" s="959"/>
      <c r="T75" s="845"/>
      <c r="U75" s="845"/>
      <c r="V75" s="845"/>
      <c r="W75" s="845" t="s">
        <v>2177</v>
      </c>
      <c r="X75" s="845"/>
      <c r="Y75" s="1002"/>
      <c r="Z75" s="848"/>
      <c r="AA75" s="851"/>
      <c r="AB75" s="848"/>
      <c r="AC75" s="848"/>
      <c r="AD75" s="848"/>
    </row>
    <row customHeight="1" ht="36">
      <c r="A76" s="847"/>
      <c r="B76" s="901">
        <v>59</v>
      </c>
      <c r="C76" s="845"/>
      <c r="D76" s="969"/>
      <c r="E76" s="845"/>
      <c r="F76" s="845" t="s">
        <v>2157</v>
      </c>
      <c r="G76" s="845"/>
      <c r="H76" s="893"/>
      <c r="I76" s="1007">
        <f>INDEX(TEMPLATE_NUMBER_POINT_FHD,B76,MATCH(TEMPLATE_SPHERE,TEMPLATE_SPHERE_LIST_FOR_NOTE,0))</f>
        <v>0</v>
      </c>
      <c r="J76" s="1007">
        <f>INDEX(TEMPLATE_DATA_POINT_FHD,B76,MATCH(TEMPLATE_SPHERE,TEMPLATE_SPHERE_LIST_FOR_NOTE,0))</f>
        <v>0</v>
      </c>
      <c r="K76" s="1007">
        <f>INDEX(TEMPLATE_NOTE_POINT_FHD,B76,MATCH(TEMPLATE_SPHERE,TEMPLATE_SPHERE_LIST_FOR_NOTE,0))</f>
        <v>0</v>
      </c>
      <c r="L76" s="846" t="str">
        <f>IF(I76=0,"",I76)</f>
        <v/>
      </c>
      <c r="M76" s="846" t="str">
        <f>IF(J76=0,"",J76)</f>
        <v/>
      </c>
      <c r="N76" s="846" t="str">
        <f>IF(K76=0,"",K76)</f>
        <v/>
      </c>
      <c r="O76" s="959"/>
      <c r="P76" s="959"/>
      <c r="Q76" s="959"/>
      <c r="R76" s="959" t="s">
        <v>112</v>
      </c>
      <c r="S76" s="959"/>
      <c r="T76" s="845"/>
      <c r="U76" s="845"/>
      <c r="V76" s="845"/>
      <c r="W76" s="845" t="s">
        <v>2178</v>
      </c>
      <c r="X76" s="845"/>
      <c r="Y76" s="1002"/>
      <c r="Z76" s="848"/>
      <c r="AA76" s="851"/>
      <c r="AB76" s="848"/>
      <c r="AC76" s="848"/>
      <c r="AD76" s="848"/>
    </row>
    <row customHeight="1" ht="18">
      <c r="A77" s="847"/>
      <c r="B77" s="901">
        <v>60</v>
      </c>
      <c r="C77" s="845"/>
      <c r="D77" s="969"/>
      <c r="E77" s="845"/>
      <c r="F77" s="845" t="s">
        <v>2159</v>
      </c>
      <c r="G77" s="845"/>
      <c r="H77" s="893"/>
      <c r="I77" s="1007">
        <f>INDEX(TEMPLATE_NUMBER_POINT_FHD,B77,MATCH(TEMPLATE_SPHERE,TEMPLATE_SPHERE_LIST_FOR_NOTE,0))</f>
        <v>0</v>
      </c>
      <c r="J77" s="1007">
        <f>INDEX(TEMPLATE_DATA_POINT_FHD,B77,MATCH(TEMPLATE_SPHERE,TEMPLATE_SPHERE_LIST_FOR_NOTE,0))</f>
        <v>0</v>
      </c>
      <c r="K77" s="1007">
        <f>INDEX(TEMPLATE_NOTE_POINT_FHD,B77,MATCH(TEMPLATE_SPHERE,TEMPLATE_SPHERE_LIST_FOR_NOTE,0))</f>
        <v>0</v>
      </c>
      <c r="L77" s="846" t="str">
        <f>IF(I77=0,"",I77)</f>
        <v/>
      </c>
      <c r="M77" s="846" t="str">
        <f>IF(J77=0,"",J77)</f>
        <v/>
      </c>
      <c r="N77" s="846" t="str">
        <f>IF(K77=0,"",K77)</f>
        <v/>
      </c>
      <c r="O77" s="959"/>
      <c r="P77" s="959"/>
      <c r="Q77" s="959"/>
      <c r="R77" s="959" t="s">
        <v>150</v>
      </c>
      <c r="S77" s="959"/>
      <c r="T77" s="845"/>
      <c r="U77" s="845"/>
      <c r="V77" s="845"/>
      <c r="W77" s="845" t="s">
        <v>2179</v>
      </c>
      <c r="X77" s="845"/>
      <c r="Y77" s="1002"/>
      <c r="Z77" s="848"/>
      <c r="AA77" s="851"/>
      <c r="AB77" s="848"/>
      <c r="AC77" s="848"/>
      <c r="AD77" s="848"/>
    </row>
    <row customHeight="1" ht="72">
      <c r="A78" s="847"/>
      <c r="B78" s="901">
        <v>61</v>
      </c>
      <c r="C78" s="845" t="s">
        <v>2155</v>
      </c>
      <c r="D78" s="969"/>
      <c r="E78" s="845"/>
      <c r="F78" s="845"/>
      <c r="G78" s="845"/>
      <c r="H78" s="893"/>
      <c r="I78" s="1007" t="str">
        <f>INDEX(TEMPLATE_NUMBER_POINT_FHD,B78,MATCH(TEMPLATE_SPHERE,TEMPLATE_SPHERE_LIST_FOR_NOTE,0))</f>
        <v>7</v>
      </c>
      <c r="J78" s="1007"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7"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6" t="str">
        <f>IF(I78=0,"",I78)</f>
        <v>7</v>
      </c>
      <c r="M78" s="846"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6"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9" t="s">
        <v>93</v>
      </c>
      <c r="P78" s="959"/>
      <c r="Q78" s="959"/>
      <c r="R78" s="959"/>
      <c r="S78" s="959"/>
      <c r="T78" s="845" t="s">
        <v>634</v>
      </c>
      <c r="U78" s="845"/>
      <c r="V78" s="845"/>
      <c r="W78" s="845"/>
      <c r="X78" s="845"/>
      <c r="Y78" s="1002"/>
      <c r="Z78" s="848" t="s">
        <v>2180</v>
      </c>
      <c r="AA78" s="851"/>
      <c r="AB78" s="848"/>
      <c r="AC78" s="848"/>
      <c r="AD78" s="848"/>
    </row>
    <row customHeight="1" ht="36">
      <c r="A79" s="847"/>
      <c r="B79" s="901">
        <v>62</v>
      </c>
      <c r="C79" s="845" t="s">
        <v>2157</v>
      </c>
      <c r="D79" s="969"/>
      <c r="E79" s="845"/>
      <c r="F79" s="845"/>
      <c r="G79" s="845"/>
      <c r="H79" s="893"/>
      <c r="I79" s="1007" t="str">
        <f>INDEX(TEMPLATE_NUMBER_POINT_FHD,B79,MATCH(TEMPLATE_SPHERE,TEMPLATE_SPHERE_LIST_FOR_NOTE,0))</f>
        <v>8</v>
      </c>
      <c r="J79" s="1007"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7"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6" t="str">
        <f>IF(I79=0,"",I79)</f>
        <v>8</v>
      </c>
      <c r="M79" s="846" t="str">
        <f>IF(J79=0,"",J79)</f>
        <v>Тепловая нагрузка по договорам, заключенным в рамках осуществления регулируемых видов деятельности</v>
      </c>
      <c r="N79" s="846"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9" t="s">
        <v>112</v>
      </c>
      <c r="P79" s="959"/>
      <c r="Q79" s="959"/>
      <c r="R79" s="959"/>
      <c r="S79" s="959"/>
      <c r="T79" s="845" t="s">
        <v>2181</v>
      </c>
      <c r="U79" s="845"/>
      <c r="V79" s="845"/>
      <c r="W79" s="845"/>
      <c r="X79" s="845"/>
      <c r="Y79" s="1002"/>
      <c r="Z79" s="848" t="s">
        <v>2182</v>
      </c>
      <c r="AA79" s="851"/>
      <c r="AB79" s="848"/>
      <c r="AC79" s="848"/>
      <c r="AD79" s="848"/>
    </row>
    <row customHeight="1" ht="45">
      <c r="A80" s="847"/>
      <c r="B80" s="901">
        <v>63</v>
      </c>
      <c r="C80" s="845" t="s">
        <v>2159</v>
      </c>
      <c r="D80" s="969"/>
      <c r="E80" s="845"/>
      <c r="F80" s="845"/>
      <c r="G80" s="845"/>
      <c r="H80" s="893"/>
      <c r="I80" s="1007" t="str">
        <f>INDEX(TEMPLATE_NUMBER_POINT_FHD,B80,MATCH(TEMPLATE_SPHERE,TEMPLATE_SPHERE_LIST_FOR_NOTE,0))</f>
        <v>9</v>
      </c>
      <c r="J80" s="1007"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7"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6" t="str">
        <f>IF(I80=0,"",I80)</f>
        <v>9</v>
      </c>
      <c r="M80" s="846" t="str">
        <f>IF(J80=0,"",J80)</f>
        <v>Объем вырабатываемой регулируемой организацией тепловой энергии в рамках осуществления регулируемых видов деятельности</v>
      </c>
      <c r="N80" s="846"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9" t="s">
        <v>150</v>
      </c>
      <c r="P80" s="959"/>
      <c r="Q80" s="959"/>
      <c r="R80" s="959"/>
      <c r="S80" s="959"/>
      <c r="T80" s="845" t="s">
        <v>2183</v>
      </c>
      <c r="U80" s="845"/>
      <c r="V80" s="845"/>
      <c r="W80" s="845"/>
      <c r="X80" s="845"/>
      <c r="Y80" s="1002"/>
      <c r="Z80" s="848" t="s">
        <v>2184</v>
      </c>
      <c r="AA80" s="851"/>
      <c r="AB80" s="848"/>
      <c r="AC80" s="848"/>
      <c r="AD80" s="848"/>
    </row>
    <row customHeight="1" ht="36">
      <c r="A81" s="847"/>
      <c r="B81" s="901">
        <v>64</v>
      </c>
      <c r="C81" s="845" t="s">
        <v>2161</v>
      </c>
      <c r="D81" s="969"/>
      <c r="E81" s="845"/>
      <c r="F81" s="845"/>
      <c r="G81" s="845"/>
      <c r="H81" s="893"/>
      <c r="I81" s="1007" t="str">
        <f>INDEX(TEMPLATE_NUMBER_POINT_FHD,B81,MATCH(TEMPLATE_SPHERE,TEMPLATE_SPHERE_LIST_FOR_NOTE,0))</f>
        <v>9.1</v>
      </c>
      <c r="J81" s="1007"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7" t="str">
        <f>INDEX(TEMPLATE_NOTE_POINT_FHD,B81,MATCH(TEMPLATE_SPHERE,TEMPLATE_SPHERE_LIST_FOR_NOTE,0))</f>
        <v>Информация указывается только едиными теплоснабжающими организациями.</v>
      </c>
      <c r="L81" s="846" t="str">
        <f>IF(I81=0,"",I81)</f>
        <v>9.1</v>
      </c>
      <c r="M81" s="846" t="str">
        <f>IF(J81=0,"",J81)</f>
        <v>Объем приобретаемой регулируемой организацией тепловой энергии в рамках осуществления регулируемых видов деятельности</v>
      </c>
      <c r="N81" s="846" t="str">
        <f>IF(K81=0,"",K81)</f>
        <v>Информация указывается только едиными теплоснабжающими организациями.</v>
      </c>
      <c r="O81" s="959" t="s">
        <v>2067</v>
      </c>
      <c r="P81" s="959"/>
      <c r="Q81" s="959"/>
      <c r="R81" s="959"/>
      <c r="S81" s="959"/>
      <c r="T81" s="845" t="s">
        <v>2185</v>
      </c>
      <c r="U81" s="845"/>
      <c r="V81" s="845"/>
      <c r="W81" s="845"/>
      <c r="X81" s="845"/>
      <c r="Y81" s="1002"/>
      <c r="Z81" s="848" t="s">
        <v>2186</v>
      </c>
      <c r="AA81" s="851"/>
      <c r="AB81" s="848"/>
      <c r="AC81" s="848"/>
      <c r="AD81" s="848"/>
    </row>
    <row customHeight="1" ht="90">
      <c r="A82" s="847"/>
      <c r="B82" s="901">
        <v>65</v>
      </c>
      <c r="C82" s="845" t="s">
        <v>2170</v>
      </c>
      <c r="D82" s="969"/>
      <c r="E82" s="845"/>
      <c r="F82" s="845"/>
      <c r="G82" s="845"/>
      <c r="H82" s="893"/>
      <c r="I82" s="1007" t="str">
        <f>INDEX(TEMPLATE_NUMBER_POINT_FHD,B82,MATCH(TEMPLATE_SPHERE,TEMPLATE_SPHERE_LIST_FOR_NOTE,0))</f>
        <v>10</v>
      </c>
      <c r="J82" s="1007"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7"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6" t="str">
        <f>IF(I82=0,"",I82)</f>
        <v>10</v>
      </c>
      <c r="M82" s="846"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6"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9" t="s">
        <v>151</v>
      </c>
      <c r="P82" s="959"/>
      <c r="Q82" s="959"/>
      <c r="R82" s="959"/>
      <c r="S82" s="959"/>
      <c r="T82" s="845" t="s">
        <v>2187</v>
      </c>
      <c r="U82" s="845"/>
      <c r="V82" s="845"/>
      <c r="W82" s="845"/>
      <c r="X82" s="845"/>
      <c r="Y82" s="1002"/>
      <c r="Z82" s="848" t="s">
        <v>2188</v>
      </c>
      <c r="AA82" s="851"/>
      <c r="AB82" s="848"/>
      <c r="AC82" s="848"/>
      <c r="AD82" s="848"/>
    </row>
    <row customHeight="1" ht="9">
      <c r="A83" s="847"/>
      <c r="B83" s="901">
        <v>66</v>
      </c>
      <c r="C83" s="845"/>
      <c r="D83" s="969"/>
      <c r="E83" s="845"/>
      <c r="F83" s="845"/>
      <c r="G83" s="845"/>
      <c r="H83" s="893"/>
      <c r="I83" s="1007" t="str">
        <f>INDEX(TEMPLATE_NUMBER_POINT_FHD,B83,MATCH(TEMPLATE_SPHERE,TEMPLATE_SPHERE_LIST_FOR_NOTE,0))</f>
        <v>10.1</v>
      </c>
      <c r="J83" s="1007" t="str">
        <f>INDEX(TEMPLATE_DATA_POINT_FHD,B83,MATCH(TEMPLATE_SPHERE,TEMPLATE_SPHERE_LIST_FOR_NOTE,0))</f>
        <v>По приборам учёта </v>
      </c>
      <c r="K83" s="1007">
        <f>INDEX(TEMPLATE_NOTE_POINT_FHD,B83,MATCH(TEMPLATE_SPHERE,TEMPLATE_SPHERE_LIST_FOR_NOTE,0))</f>
        <v>0</v>
      </c>
      <c r="L83" s="846" t="str">
        <f>IF(I83=0,"",I83)</f>
        <v>10.1</v>
      </c>
      <c r="M83" s="846" t="str">
        <f>IF(J83=0,"",J83)</f>
        <v>По приборам учёта </v>
      </c>
      <c r="N83" s="846" t="str">
        <f>IF(K83=0,"",K83)</f>
        <v/>
      </c>
      <c r="O83" s="959" t="s">
        <v>2076</v>
      </c>
      <c r="P83" s="959"/>
      <c r="Q83" s="959"/>
      <c r="R83" s="959"/>
      <c r="S83" s="959"/>
      <c r="T83" s="845" t="s">
        <v>2189</v>
      </c>
      <c r="U83" s="845"/>
      <c r="V83" s="845"/>
      <c r="W83" s="845"/>
      <c r="X83" s="845"/>
      <c r="Y83" s="1002"/>
      <c r="Z83" s="848"/>
      <c r="AA83" s="851"/>
      <c r="AB83" s="848"/>
      <c r="AC83" s="848"/>
      <c r="AD83" s="848"/>
    </row>
    <row customHeight="1" ht="54">
      <c r="A84" s="847"/>
      <c r="B84" s="901">
        <v>67</v>
      </c>
      <c r="C84" s="845"/>
      <c r="D84" s="969"/>
      <c r="E84" s="845"/>
      <c r="F84" s="845"/>
      <c r="G84" s="845"/>
      <c r="H84" s="893"/>
      <c r="I84" s="1007" t="str">
        <f>INDEX(TEMPLATE_NUMBER_POINT_FHD,B84,MATCH(TEMPLATE_SPHERE,TEMPLATE_SPHERE_LIST_FOR_NOTE,0))</f>
        <v>10.1.1</v>
      </c>
      <c r="J84" s="1007"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7">
        <f>INDEX(TEMPLATE_NOTE_POINT_FHD,B84,MATCH(TEMPLATE_SPHERE,TEMPLATE_SPHERE_LIST_FOR_NOTE,0))</f>
        <v>0</v>
      </c>
      <c r="L84" s="846" t="str">
        <f>IF(I84=0,"",I84)</f>
        <v>10.1.1</v>
      </c>
      <c r="M84" s="846"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6" t="str">
        <f>IF(K84=0,"",K84)</f>
        <v/>
      </c>
      <c r="O84" s="959" t="s">
        <v>2190</v>
      </c>
      <c r="P84" s="959"/>
      <c r="Q84" s="959"/>
      <c r="R84" s="959"/>
      <c r="S84" s="959"/>
      <c r="T84" s="845" t="s">
        <v>2191</v>
      </c>
      <c r="U84" s="845"/>
      <c r="V84" s="845"/>
      <c r="W84" s="845"/>
      <c r="X84" s="845"/>
      <c r="Y84" s="1002"/>
      <c r="Z84" s="848"/>
      <c r="AA84" s="851"/>
      <c r="AB84" s="848"/>
      <c r="AC84" s="848"/>
      <c r="AD84" s="848"/>
    </row>
    <row customHeight="1" ht="9">
      <c r="A85" s="847"/>
      <c r="B85" s="901">
        <v>68</v>
      </c>
      <c r="C85" s="845"/>
      <c r="D85" s="969"/>
      <c r="E85" s="845"/>
      <c r="F85" s="845"/>
      <c r="G85" s="845"/>
      <c r="H85" s="893"/>
      <c r="I85" s="1007" t="str">
        <f>INDEX(TEMPLATE_NUMBER_POINT_FHD,B85,MATCH(TEMPLATE_SPHERE,TEMPLATE_SPHERE_LIST_FOR_NOTE,0))</f>
        <v>10.2</v>
      </c>
      <c r="J85" s="1007" t="str">
        <f>INDEX(TEMPLATE_DATA_POINT_FHD,B85,MATCH(TEMPLATE_SPHERE,TEMPLATE_SPHERE_LIST_FOR_NOTE,0))</f>
        <v>Расчётным путём</v>
      </c>
      <c r="K85" s="1007">
        <f>INDEX(TEMPLATE_NOTE_POINT_FHD,B85,MATCH(TEMPLATE_SPHERE,TEMPLATE_SPHERE_LIST_FOR_NOTE,0))</f>
        <v>0</v>
      </c>
      <c r="L85" s="846" t="str">
        <f>IF(I85=0,"",I85)</f>
        <v>10.2</v>
      </c>
      <c r="M85" s="846" t="str">
        <f>IF(J85=0,"",J85)</f>
        <v>Расчётным путём</v>
      </c>
      <c r="N85" s="846" t="str">
        <f>IF(K85=0,"",K85)</f>
        <v/>
      </c>
      <c r="O85" s="959" t="s">
        <v>2080</v>
      </c>
      <c r="P85" s="959"/>
      <c r="Q85" s="959"/>
      <c r="R85" s="959"/>
      <c r="S85" s="959"/>
      <c r="T85" s="845" t="s">
        <v>2192</v>
      </c>
      <c r="U85" s="845"/>
      <c r="V85" s="845"/>
      <c r="W85" s="845"/>
      <c r="X85" s="845"/>
      <c r="Y85" s="1002"/>
      <c r="Z85" s="848"/>
      <c r="AA85" s="851"/>
      <c r="AB85" s="848"/>
      <c r="AC85" s="848"/>
      <c r="AD85" s="848"/>
    </row>
    <row customHeight="1" ht="27">
      <c r="A86" s="847"/>
      <c r="B86" s="901">
        <v>69</v>
      </c>
      <c r="C86" s="845"/>
      <c r="D86" s="969"/>
      <c r="E86" s="845"/>
      <c r="F86" s="845"/>
      <c r="G86" s="845"/>
      <c r="H86" s="893"/>
      <c r="I86" s="1007" t="str">
        <f>INDEX(TEMPLATE_NUMBER_POINT_FHD,B86,MATCH(TEMPLATE_SPHERE,TEMPLATE_SPHERE_LIST_FOR_NOTE,0))</f>
        <v>10.3</v>
      </c>
      <c r="J86" s="1007" t="str">
        <f>INDEX(TEMPLATE_DATA_POINT_FHD,B86,MATCH(TEMPLATE_SPHERE,TEMPLATE_SPHERE_LIST_FOR_NOTE,0))</f>
        <v>По нормативам потребления коммунальных услуг и нормативам потребления коммунальных ресурсов</v>
      </c>
      <c r="K86" s="1007">
        <f>INDEX(TEMPLATE_NOTE_POINT_FHD,B86,MATCH(TEMPLATE_SPHERE,TEMPLATE_SPHERE_LIST_FOR_NOTE,0))</f>
        <v>0</v>
      </c>
      <c r="L86" s="846" t="str">
        <f>IF(I86=0,"",I86)</f>
        <v>10.3</v>
      </c>
      <c r="M86" s="846" t="str">
        <f>IF(J86=0,"",J86)</f>
        <v>По нормативам потребления коммунальных услуг и нормативам потребления коммунальных ресурсов</v>
      </c>
      <c r="N86" s="846" t="str">
        <f>IF(K86=0,"",K86)</f>
        <v/>
      </c>
      <c r="O86" s="959" t="s">
        <v>2193</v>
      </c>
      <c r="P86" s="959"/>
      <c r="Q86" s="959"/>
      <c r="R86" s="959"/>
      <c r="S86" s="959"/>
      <c r="T86" s="845" t="s">
        <v>2194</v>
      </c>
      <c r="U86" s="845"/>
      <c r="V86" s="845"/>
      <c r="W86" s="845"/>
      <c r="X86" s="845"/>
      <c r="Y86" s="1002"/>
      <c r="Z86" s="848"/>
      <c r="AA86" s="851"/>
      <c r="AB86" s="848"/>
      <c r="AC86" s="848"/>
      <c r="AD86" s="848"/>
    </row>
    <row customHeight="1" ht="36">
      <c r="A87" s="847"/>
      <c r="B87" s="901">
        <v>70</v>
      </c>
      <c r="C87" s="845" t="s">
        <v>2195</v>
      </c>
      <c r="D87" s="969"/>
      <c r="E87" s="845"/>
      <c r="F87" s="845"/>
      <c r="G87" s="845"/>
      <c r="H87" s="893"/>
      <c r="I87" s="1007" t="str">
        <f>INDEX(TEMPLATE_NUMBER_POINT_FHD,B87,MATCH(TEMPLATE_SPHERE,TEMPLATE_SPHERE_LIST_FOR_NOTE,0))</f>
        <v>11</v>
      </c>
      <c r="J87" s="1007"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7">
        <f>INDEX(TEMPLATE_NOTE_POINT_FHD,B87,MATCH(TEMPLATE_SPHERE,TEMPLATE_SPHERE_LIST_FOR_NOTE,0))</f>
        <v>0</v>
      </c>
      <c r="L87" s="846" t="str">
        <f>IF(I87=0,"",I87)</f>
        <v>11</v>
      </c>
      <c r="M87" s="846"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6" t="str">
        <f>IF(K87=0,"",K87)</f>
        <v/>
      </c>
      <c r="O87" s="959" t="s">
        <v>152</v>
      </c>
      <c r="P87" s="959"/>
      <c r="Q87" s="959"/>
      <c r="R87" s="959"/>
      <c r="S87" s="959"/>
      <c r="T87" s="845" t="s">
        <v>2196</v>
      </c>
      <c r="U87" s="845"/>
      <c r="V87" s="845"/>
      <c r="W87" s="845"/>
      <c r="X87" s="845"/>
      <c r="Y87" s="1002"/>
      <c r="Z87" s="848"/>
      <c r="AA87" s="851"/>
      <c r="AB87" s="848"/>
      <c r="AC87" s="848"/>
      <c r="AD87" s="848"/>
    </row>
    <row customHeight="1" ht="18">
      <c r="A88" s="847"/>
      <c r="B88" s="901">
        <v>71</v>
      </c>
      <c r="C88" s="845" t="s">
        <v>2197</v>
      </c>
      <c r="D88" s="969"/>
      <c r="E88" s="845"/>
      <c r="F88" s="845"/>
      <c r="G88" s="845"/>
      <c r="H88" s="893"/>
      <c r="I88" s="1007" t="str">
        <f>INDEX(TEMPLATE_NUMBER_POINT_FHD,B88,MATCH(TEMPLATE_SPHERE,TEMPLATE_SPHERE_LIST_FOR_NOTE,0))</f>
        <v>12</v>
      </c>
      <c r="J88" s="1007" t="str">
        <f>INDEX(TEMPLATE_DATA_POINT_FHD,B88,MATCH(TEMPLATE_SPHERE,TEMPLATE_SPHERE_LIST_FOR_NOTE,0))</f>
        <v>Фактический объем потерь при передаче тепловой энергии</v>
      </c>
      <c r="K88" s="1007">
        <f>INDEX(TEMPLATE_NOTE_POINT_FHD,B88,MATCH(TEMPLATE_SPHERE,TEMPLATE_SPHERE_LIST_FOR_NOTE,0))</f>
        <v>0</v>
      </c>
      <c r="L88" s="846" t="str">
        <f>IF(I88=0,"",I88)</f>
        <v>12</v>
      </c>
      <c r="M88" s="846" t="str">
        <f>IF(J88=0,"",J88)</f>
        <v>Фактический объем потерь при передаче тепловой энергии</v>
      </c>
      <c r="N88" s="846" t="str">
        <f>IF(K88=0,"",K88)</f>
        <v/>
      </c>
      <c r="O88" s="959" t="s">
        <v>153</v>
      </c>
      <c r="P88" s="959"/>
      <c r="Q88" s="959"/>
      <c r="R88" s="959"/>
      <c r="S88" s="959"/>
      <c r="T88" s="845" t="s">
        <v>666</v>
      </c>
      <c r="U88" s="845"/>
      <c r="V88" s="845"/>
      <c r="W88" s="845"/>
      <c r="X88" s="845"/>
      <c r="Y88" s="1002"/>
      <c r="Z88" s="848"/>
      <c r="AA88" s="851"/>
      <c r="AB88" s="848"/>
      <c r="AC88" s="848"/>
      <c r="AD88" s="848"/>
    </row>
    <row customHeight="1" ht="18">
      <c r="A89" s="847"/>
      <c r="B89" s="901">
        <v>72</v>
      </c>
      <c r="C89" s="845" t="s">
        <v>2198</v>
      </c>
      <c r="D89" s="969" t="s">
        <v>2195</v>
      </c>
      <c r="E89" s="845" t="s">
        <v>2195</v>
      </c>
      <c r="F89" s="845" t="s">
        <v>2161</v>
      </c>
      <c r="G89" s="845"/>
      <c r="H89" s="893"/>
      <c r="I89" s="1007" t="str">
        <f>INDEX(TEMPLATE_NUMBER_POINT_FHD,B89,MATCH(TEMPLATE_SPHERE,TEMPLATE_SPHERE_LIST_FOR_NOTE,0))</f>
        <v>13</v>
      </c>
      <c r="J89" s="1007" t="str">
        <f>INDEX(TEMPLATE_DATA_POINT_FHD,B89,MATCH(TEMPLATE_SPHERE,TEMPLATE_SPHERE_LIST_FOR_NOTE,0))</f>
        <v>Среднесписочная численность основного производственного персонала</v>
      </c>
      <c r="K89" s="1007">
        <f>INDEX(TEMPLATE_NOTE_POINT_FHD,B89,MATCH(TEMPLATE_SPHERE,TEMPLATE_SPHERE_LIST_FOR_NOTE,0))</f>
        <v>0</v>
      </c>
      <c r="L89" s="846" t="str">
        <f>IF(I89=0,"",I89)</f>
        <v>13</v>
      </c>
      <c r="M89" s="846" t="str">
        <f>IF(J89=0,"",J89)</f>
        <v>Среднесписочная численность основного производственного персонала</v>
      </c>
      <c r="N89" s="846" t="str">
        <f>IF(K89=0,"",K89)</f>
        <v/>
      </c>
      <c r="O89" s="959" t="s">
        <v>154</v>
      </c>
      <c r="P89" s="959" t="s">
        <v>153</v>
      </c>
      <c r="Q89" s="959" t="s">
        <v>153</v>
      </c>
      <c r="R89" s="959" t="s">
        <v>151</v>
      </c>
      <c r="S89" s="959"/>
      <c r="T89" s="845" t="s">
        <v>674</v>
      </c>
      <c r="U89" s="845" t="s">
        <v>674</v>
      </c>
      <c r="V89" s="845" t="s">
        <v>674</v>
      </c>
      <c r="W89" s="845" t="s">
        <v>674</v>
      </c>
      <c r="X89" s="845"/>
      <c r="Y89" s="1002"/>
      <c r="Z89" s="848"/>
      <c r="AA89" s="851"/>
      <c r="AB89" s="848"/>
      <c r="AC89" s="848"/>
      <c r="AD89" s="848"/>
    </row>
    <row customHeight="1" ht="27">
      <c r="A90" s="847"/>
      <c r="B90" s="901">
        <v>73</v>
      </c>
      <c r="C90" s="845" t="s">
        <v>2199</v>
      </c>
      <c r="D90" s="969"/>
      <c r="E90" s="845"/>
      <c r="F90" s="845"/>
      <c r="G90" s="845"/>
      <c r="H90" s="893"/>
      <c r="I90" s="1007" t="str">
        <f>INDEX(TEMPLATE_NUMBER_POINT_FHD,B90,MATCH(TEMPLATE_SPHERE,TEMPLATE_SPHERE_LIST_FOR_NOTE,0))</f>
        <v>14</v>
      </c>
      <c r="J90" s="1007" t="str">
        <f>INDEX(TEMPLATE_DATA_POINT_FHD,B90,MATCH(TEMPLATE_SPHERE,TEMPLATE_SPHERE_LIST_FOR_NOTE,0))</f>
        <v>Среднесписочная численность административно-управленческого персонала</v>
      </c>
      <c r="K90" s="1007">
        <f>INDEX(TEMPLATE_NOTE_POINT_FHD,B90,MATCH(TEMPLATE_SPHERE,TEMPLATE_SPHERE_LIST_FOR_NOTE,0))</f>
        <v>0</v>
      </c>
      <c r="L90" s="846" t="str">
        <f>IF(I90=0,"",I90)</f>
        <v>14</v>
      </c>
      <c r="M90" s="846" t="str">
        <f>IF(J90=0,"",J90)</f>
        <v>Среднесписочная численность административно-управленческого персонала</v>
      </c>
      <c r="N90" s="846" t="str">
        <f>IF(K90=0,"",K90)</f>
        <v/>
      </c>
      <c r="O90" s="959" t="s">
        <v>155</v>
      </c>
      <c r="P90" s="959"/>
      <c r="Q90" s="959"/>
      <c r="R90" s="959"/>
      <c r="S90" s="959"/>
      <c r="T90" s="845" t="s">
        <v>676</v>
      </c>
      <c r="U90" s="845"/>
      <c r="V90" s="845"/>
      <c r="W90" s="845"/>
      <c r="X90" s="845"/>
      <c r="Y90" s="1002"/>
      <c r="Z90" s="848"/>
      <c r="AA90" s="851"/>
      <c r="AB90" s="848"/>
      <c r="AC90" s="848"/>
      <c r="AD90" s="848"/>
    </row>
    <row customHeight="1" ht="18">
      <c r="A91" s="847"/>
      <c r="B91" s="901">
        <v>74</v>
      </c>
      <c r="C91" s="845"/>
      <c r="D91" s="969" t="s">
        <v>2197</v>
      </c>
      <c r="E91" s="845" t="s">
        <v>2197</v>
      </c>
      <c r="F91" s="845"/>
      <c r="G91" s="845"/>
      <c r="H91" s="893"/>
      <c r="I91" s="1007">
        <f>INDEX(TEMPLATE_NUMBER_POINT_FHD,B91,MATCH(TEMPLATE_SPHERE,TEMPLATE_SPHERE_LIST_FOR_NOTE,0))</f>
        <v>0</v>
      </c>
      <c r="J91" s="1007">
        <f>INDEX(TEMPLATE_DATA_POINT_FHD,B91,MATCH(TEMPLATE_SPHERE,TEMPLATE_SPHERE_LIST_FOR_NOTE,0))</f>
        <v>0</v>
      </c>
      <c r="K91" s="1007">
        <f>INDEX(TEMPLATE_NOTE_POINT_FHD,B91,MATCH(TEMPLATE_SPHERE,TEMPLATE_SPHERE_LIST_FOR_NOTE,0))</f>
        <v>0</v>
      </c>
      <c r="L91" s="846" t="str">
        <f>IF(I91=0,"",I91)</f>
        <v/>
      </c>
      <c r="M91" s="846" t="str">
        <f>IF(J91=0,"",J91)</f>
        <v/>
      </c>
      <c r="N91" s="846" t="str">
        <f>IF(K91=0,"",K91)</f>
        <v/>
      </c>
      <c r="O91" s="959"/>
      <c r="P91" s="959" t="s">
        <v>154</v>
      </c>
      <c r="Q91" s="959" t="s">
        <v>154</v>
      </c>
      <c r="R91" s="959"/>
      <c r="S91" s="959"/>
      <c r="T91" s="845"/>
      <c r="U91" s="845" t="s">
        <v>2200</v>
      </c>
      <c r="V91" s="845" t="s">
        <v>2200</v>
      </c>
      <c r="W91" s="845"/>
      <c r="X91" s="845"/>
      <c r="Y91" s="1002"/>
      <c r="Z91" s="848"/>
      <c r="AA91" s="851"/>
      <c r="AB91" s="848"/>
      <c r="AC91" s="848"/>
      <c r="AD91" s="848"/>
    </row>
    <row customHeight="1" ht="27">
      <c r="A92" s="847"/>
      <c r="B92" s="901">
        <v>75</v>
      </c>
      <c r="C92" s="845"/>
      <c r="D92" s="969" t="s">
        <v>2198</v>
      </c>
      <c r="E92" s="845"/>
      <c r="F92" s="845"/>
      <c r="G92" s="845"/>
      <c r="H92" s="893"/>
      <c r="I92" s="1007">
        <f>INDEX(TEMPLATE_NUMBER_POINT_FHD,B92,MATCH(TEMPLATE_SPHERE,TEMPLATE_SPHERE_LIST_FOR_NOTE,0))</f>
        <v>0</v>
      </c>
      <c r="J92" s="1007">
        <f>INDEX(TEMPLATE_DATA_POINT_FHD,B92,MATCH(TEMPLATE_SPHERE,TEMPLATE_SPHERE_LIST_FOR_NOTE,0))</f>
        <v>0</v>
      </c>
      <c r="K92" s="1007">
        <f>INDEX(TEMPLATE_NOTE_POINT_FHD,B92,MATCH(TEMPLATE_SPHERE,TEMPLATE_SPHERE_LIST_FOR_NOTE,0))</f>
        <v>0</v>
      </c>
      <c r="L92" s="846" t="str">
        <f>IF(I92=0,"",I92)</f>
        <v/>
      </c>
      <c r="M92" s="846" t="str">
        <f>IF(J92=0,"",J92)</f>
        <v/>
      </c>
      <c r="N92" s="846" t="str">
        <f>IF(K92=0,"",K92)</f>
        <v/>
      </c>
      <c r="O92" s="959"/>
      <c r="P92" s="959" t="s">
        <v>155</v>
      </c>
      <c r="Q92" s="959"/>
      <c r="R92" s="959"/>
      <c r="S92" s="959"/>
      <c r="T92" s="845"/>
      <c r="U92" s="845" t="s">
        <v>2201</v>
      </c>
      <c r="V92" s="845"/>
      <c r="W92" s="845"/>
      <c r="X92" s="845"/>
      <c r="Y92" s="1002"/>
      <c r="Z92" s="848"/>
      <c r="AA92" s="851" t="s">
        <v>2202</v>
      </c>
      <c r="AB92" s="848"/>
      <c r="AC92" s="848"/>
      <c r="AD92" s="848"/>
    </row>
    <row customHeight="1" ht="27">
      <c r="A93" s="847"/>
      <c r="B93" s="901">
        <v>76</v>
      </c>
      <c r="C93" s="845"/>
      <c r="D93" s="969"/>
      <c r="E93" s="845"/>
      <c r="F93" s="845"/>
      <c r="G93" s="845"/>
      <c r="H93" s="893"/>
      <c r="I93" s="1007">
        <f>INDEX(TEMPLATE_NUMBER_POINT_FHD,B93,MATCH(TEMPLATE_SPHERE,TEMPLATE_SPHERE_LIST_FOR_NOTE,0))</f>
        <v>0</v>
      </c>
      <c r="J93" s="1007">
        <f>INDEX(TEMPLATE_DATA_POINT_FHD,B93,MATCH(TEMPLATE_SPHERE,TEMPLATE_SPHERE_LIST_FOR_NOTE,0))</f>
        <v>0</v>
      </c>
      <c r="K93" s="1007">
        <f>INDEX(TEMPLATE_NOTE_POINT_FHD,B93,MATCH(TEMPLATE_SPHERE,TEMPLATE_SPHERE_LIST_FOR_NOTE,0))</f>
        <v>0</v>
      </c>
      <c r="L93" s="846" t="str">
        <f>IF(I93=0,"",I93)</f>
        <v/>
      </c>
      <c r="M93" s="846" t="str">
        <f>IF(J93=0,"",J93)</f>
        <v/>
      </c>
      <c r="N93" s="846" t="str">
        <f>IF(K93=0,"",K93)</f>
        <v/>
      </c>
      <c r="O93" s="959"/>
      <c r="P93" s="959" t="s">
        <v>2108</v>
      </c>
      <c r="Q93" s="959"/>
      <c r="R93" s="959"/>
      <c r="S93" s="959"/>
      <c r="T93" s="845"/>
      <c r="U93" s="845" t="s">
        <v>2203</v>
      </c>
      <c r="V93" s="845"/>
      <c r="W93" s="845"/>
      <c r="X93" s="845"/>
      <c r="Y93" s="1002"/>
      <c r="Z93" s="848"/>
      <c r="AA93" s="851" t="s">
        <v>2204</v>
      </c>
      <c r="AB93" s="848"/>
      <c r="AC93" s="848"/>
      <c r="AD93" s="848"/>
    </row>
    <row customHeight="1" ht="45">
      <c r="A94" s="847"/>
      <c r="B94" s="901">
        <v>77</v>
      </c>
      <c r="C94" s="845"/>
      <c r="D94" s="969" t="s">
        <v>2199</v>
      </c>
      <c r="E94" s="845"/>
      <c r="F94" s="845"/>
      <c r="G94" s="845"/>
      <c r="H94" s="893"/>
      <c r="I94" s="1007">
        <f>INDEX(TEMPLATE_NUMBER_POINT_FHD,B94,MATCH(TEMPLATE_SPHERE,TEMPLATE_SPHERE_LIST_FOR_NOTE,0))</f>
        <v>0</v>
      </c>
      <c r="J94" s="1007">
        <f>INDEX(TEMPLATE_DATA_POINT_FHD,B94,MATCH(TEMPLATE_SPHERE,TEMPLATE_SPHERE_LIST_FOR_NOTE,0))</f>
        <v>0</v>
      </c>
      <c r="K94" s="1007">
        <f>INDEX(TEMPLATE_NOTE_POINT_FHD,B94,MATCH(TEMPLATE_SPHERE,TEMPLATE_SPHERE_LIST_FOR_NOTE,0))</f>
        <v>0</v>
      </c>
      <c r="L94" s="846" t="str">
        <f>IF(I94=0,"",I94)</f>
        <v/>
      </c>
      <c r="M94" s="846" t="str">
        <f>IF(J94=0,"",J94)</f>
        <v/>
      </c>
      <c r="N94" s="846" t="str">
        <f>IF(K94=0,"",K94)</f>
        <v/>
      </c>
      <c r="O94" s="959"/>
      <c r="P94" s="959" t="s">
        <v>1462</v>
      </c>
      <c r="Q94" s="959"/>
      <c r="R94" s="959"/>
      <c r="S94" s="959"/>
      <c r="T94" s="845"/>
      <c r="U94" s="845" t="s">
        <v>2205</v>
      </c>
      <c r="V94" s="845"/>
      <c r="W94" s="845"/>
      <c r="X94" s="845"/>
      <c r="Y94" s="1002"/>
      <c r="Z94" s="848"/>
      <c r="AA94" s="851" t="s">
        <v>2206</v>
      </c>
      <c r="AB94" s="848"/>
      <c r="AC94" s="848"/>
      <c r="AD94" s="848"/>
    </row>
    <row customHeight="1" ht="99">
      <c r="A95" s="847"/>
      <c r="B95" s="901">
        <v>78</v>
      </c>
      <c r="C95" s="845" t="s">
        <v>2207</v>
      </c>
      <c r="D95" s="969"/>
      <c r="E95" s="845"/>
      <c r="F95" s="845"/>
      <c r="G95" s="845"/>
      <c r="H95" s="893"/>
      <c r="I95" s="1007" t="str">
        <f>INDEX(TEMPLATE_NUMBER_POINT_FHD,B95,MATCH(TEMPLATE_SPHERE,TEMPLATE_SPHERE_LIST_FOR_NOTE,0))</f>
        <v>15</v>
      </c>
      <c r="J95" s="1007"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7">
        <f>INDEX(TEMPLATE_NOTE_POINT_FHD,B95,MATCH(TEMPLATE_SPHERE,TEMPLATE_SPHERE_LIST_FOR_NOTE,0))</f>
        <v>0</v>
      </c>
      <c r="L95" s="846" t="str">
        <f>IF(I95=0,"",I95)</f>
        <v>15</v>
      </c>
      <c r="M95" s="846"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6" t="str">
        <f>IF(K95=0,"",K95)</f>
        <v/>
      </c>
      <c r="O95" s="959" t="s">
        <v>1462</v>
      </c>
      <c r="P95" s="959"/>
      <c r="Q95" s="959"/>
      <c r="R95" s="959"/>
      <c r="S95" s="959"/>
      <c r="T95" s="845" t="s">
        <v>2208</v>
      </c>
      <c r="U95" s="845"/>
      <c r="V95" s="845"/>
      <c r="W95" s="845"/>
      <c r="X95" s="845"/>
      <c r="Y95" s="1002"/>
      <c r="Z95" s="848"/>
      <c r="AA95" s="851"/>
      <c r="AB95" s="848"/>
      <c r="AC95" s="848"/>
      <c r="AD95" s="848"/>
    </row>
    <row customHeight="1" ht="99">
      <c r="A96" s="847"/>
      <c r="B96" s="901">
        <v>79</v>
      </c>
      <c r="C96" s="845" t="s">
        <v>1150</v>
      </c>
      <c r="D96" s="969"/>
      <c r="E96" s="845"/>
      <c r="F96" s="845"/>
      <c r="G96" s="845"/>
      <c r="H96" s="893"/>
      <c r="I96" s="1007" t="str">
        <f>INDEX(TEMPLATE_NUMBER_POINT_FHD,B96,MATCH(TEMPLATE_SPHERE,TEMPLATE_SPHERE_LIST_FOR_NOTE,0))</f>
        <v>16</v>
      </c>
      <c r="J96" s="1007"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7"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6" t="str">
        <f>IF(I96=0,"",I96)</f>
        <v>16</v>
      </c>
      <c r="M96" s="846"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6"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9" t="s">
        <v>1468</v>
      </c>
      <c r="P96" s="959"/>
      <c r="Q96" s="959"/>
      <c r="R96" s="959"/>
      <c r="S96" s="959"/>
      <c r="T96" s="845" t="s">
        <v>2209</v>
      </c>
      <c r="U96" s="845"/>
      <c r="V96" s="845"/>
      <c r="W96" s="845"/>
      <c r="X96" s="845"/>
      <c r="Y96" s="1002"/>
      <c r="Z96" s="848" t="s">
        <v>2210</v>
      </c>
      <c r="AA96" s="851"/>
      <c r="AB96" s="848"/>
      <c r="AC96" s="848"/>
      <c r="AD96" s="848"/>
    </row>
    <row customHeight="1" ht="63">
      <c r="A97" s="847"/>
      <c r="B97" s="901">
        <v>80</v>
      </c>
      <c r="C97" s="845" t="s">
        <v>2211</v>
      </c>
      <c r="D97" s="969"/>
      <c r="E97" s="845"/>
      <c r="F97" s="845"/>
      <c r="G97" s="845"/>
      <c r="H97" s="893"/>
      <c r="I97" s="1007" t="str">
        <f>INDEX(TEMPLATE_NUMBER_POINT_FHD,B97,MATCH(TEMPLATE_SPHERE,TEMPLATE_SPHERE_LIST_FOR_NOTE,0))</f>
        <v>17</v>
      </c>
      <c r="J97" s="1007"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7"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6" t="str">
        <f>IF(I97=0,"",I97)</f>
        <v>17</v>
      </c>
      <c r="M97" s="846"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6" t="str">
        <f>IF(K97=0,"",K97)</f>
        <v>Регулируемыми организациями указывается информация с по договорам, заключенным в рамках осуществления регулируемой деятельности.</v>
      </c>
      <c r="O97" s="959" t="s">
        <v>1480</v>
      </c>
      <c r="P97" s="959"/>
      <c r="Q97" s="959"/>
      <c r="R97" s="959"/>
      <c r="S97" s="959"/>
      <c r="T97" s="845" t="s">
        <v>2212</v>
      </c>
      <c r="U97" s="845"/>
      <c r="V97" s="845"/>
      <c r="W97" s="845"/>
      <c r="X97" s="845"/>
      <c r="Y97" s="1002"/>
      <c r="Z97" s="848" t="s">
        <v>2213</v>
      </c>
      <c r="AA97" s="851"/>
      <c r="AB97" s="848"/>
      <c r="AC97" s="848"/>
      <c r="AD97" s="848"/>
    </row>
    <row customHeight="1" ht="63">
      <c r="A98" s="847"/>
      <c r="B98" s="901">
        <v>81</v>
      </c>
      <c r="C98" s="845" t="s">
        <v>2214</v>
      </c>
      <c r="D98" s="969"/>
      <c r="E98" s="845"/>
      <c r="F98" s="845"/>
      <c r="G98" s="845"/>
      <c r="H98" s="893"/>
      <c r="I98" s="1007" t="str">
        <f>INDEX(TEMPLATE_NUMBER_POINT_FHD,B98,MATCH(TEMPLATE_SPHERE,TEMPLATE_SPHERE_LIST_FOR_NOTE,0))</f>
        <v>18</v>
      </c>
      <c r="J98" s="1007"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7"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6" t="str">
        <f>IF(I98=0,"",I98)</f>
        <v>18</v>
      </c>
      <c r="M98" s="846"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6" t="str">
        <f>IF(K98=0,"",K98)</f>
        <v>Регулируемыми организациями указывается информация с по договорам, заключенным в рамках осуществления регулируемой деятельности.</v>
      </c>
      <c r="O98" s="959" t="s">
        <v>1494</v>
      </c>
      <c r="P98" s="959"/>
      <c r="Q98" s="959"/>
      <c r="R98" s="959"/>
      <c r="S98" s="959"/>
      <c r="T98" s="845" t="s">
        <v>2215</v>
      </c>
      <c r="U98" s="845"/>
      <c r="V98" s="845"/>
      <c r="W98" s="845"/>
      <c r="X98" s="845"/>
      <c r="Y98" s="1002"/>
      <c r="Z98" s="848" t="s">
        <v>2213</v>
      </c>
      <c r="AA98" s="851"/>
      <c r="AB98" s="848"/>
      <c r="AC98" s="848"/>
      <c r="AD98" s="848"/>
    </row>
    <row customHeight="1" ht="90">
      <c r="A99" s="847"/>
      <c r="B99" s="901">
        <v>82</v>
      </c>
      <c r="C99" s="845" t="s">
        <v>2216</v>
      </c>
      <c r="D99" s="969"/>
      <c r="E99" s="845"/>
      <c r="F99" s="845"/>
      <c r="G99" s="845"/>
      <c r="H99" s="893"/>
      <c r="I99" s="1007" t="str">
        <f>INDEX(TEMPLATE_NUMBER_POINT_FHD,B99,MATCH(TEMPLATE_SPHERE,TEMPLATE_SPHERE_LIST_FOR_NOTE,0))</f>
        <v>19</v>
      </c>
      <c r="J99" s="1007"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7" t="str">
        <f>INDEX(TEMPLATE_NOTE_POINT_FHD,B99,MATCH(TEMPLATE_SPHERE,TEMPLATE_SPHERE_LIST_FOR_NOTE,0))</f>
        <v>Указывается ссылка на документ, предварительно загруженный в хранилище файлов ФГИС ЕИАС.</v>
      </c>
      <c r="L99" s="846" t="str">
        <f>IF(I99=0,"",I99)</f>
        <v>19</v>
      </c>
      <c r="M99" s="846"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6" t="str">
        <f>IF(K99=0,"",K99)</f>
        <v>Указывается ссылка на документ, предварительно загруженный в хранилище файлов ФГИС ЕИАС.</v>
      </c>
      <c r="O99" s="959" t="s">
        <v>1506</v>
      </c>
      <c r="P99" s="959"/>
      <c r="Q99" s="959"/>
      <c r="R99" s="959"/>
      <c r="S99" s="959"/>
      <c r="T99" s="845" t="s">
        <v>2217</v>
      </c>
      <c r="U99" s="845"/>
      <c r="V99" s="845"/>
      <c r="W99" s="845"/>
      <c r="X99" s="845"/>
      <c r="Y99" s="1002"/>
      <c r="Z99" s="848" t="s">
        <v>631</v>
      </c>
      <c r="AA99" s="851"/>
      <c r="AB99" s="848"/>
      <c r="AC99" s="848"/>
      <c r="AD99" s="848"/>
    </row>
    <row customHeight="1" ht="27">
      <c r="A100" s="847"/>
      <c r="B100" s="901">
        <v>83</v>
      </c>
      <c r="C100" s="845"/>
      <c r="D100" s="969"/>
      <c r="E100" s="845"/>
      <c r="F100" s="845"/>
      <c r="G100" s="845"/>
      <c r="H100" s="893"/>
      <c r="I100" s="1007" t="str">
        <f>INDEX(TEMPLATE_NUMBER_POINT_FHD,B100,MATCH(TEMPLATE_SPHERE,TEMPLATE_SPHERE_LIST_FOR_NOTE,0))</f>
        <v>19.1</v>
      </c>
      <c r="J100" s="1007" t="str">
        <f>INDEX(TEMPLATE_DATA_POINT_FHD,B100,MATCH(TEMPLATE_SPHERE,TEMPLATE_SPHERE_LIST_FOR_NOTE,0))</f>
        <v>Информация о показателях физического износа объектов теплоснабжения</v>
      </c>
      <c r="K100" s="1007" t="str">
        <f>INDEX(TEMPLATE_NOTE_POINT_FHD,B100,MATCH(TEMPLATE_SPHERE,TEMPLATE_SPHERE_LIST_FOR_NOTE,0))</f>
        <v>Указывается ссылка на документ, предварительно загруженный в хранилище файлов ФГИС ЕИАС.</v>
      </c>
      <c r="L100" s="846" t="str">
        <f>IF(I100=0,"",I100)</f>
        <v>19.1</v>
      </c>
      <c r="M100" s="846" t="str">
        <f>IF(J100=0,"",J100)</f>
        <v>Информация о показателях физического износа объектов теплоснабжения</v>
      </c>
      <c r="N100" s="846" t="str">
        <f>IF(K100=0,"",K100)</f>
        <v>Указывается ссылка на документ, предварительно загруженный в хранилище файлов ФГИС ЕИАС.</v>
      </c>
      <c r="O100" s="959" t="s">
        <v>2218</v>
      </c>
      <c r="P100" s="959"/>
      <c r="Q100" s="959"/>
      <c r="R100" s="959"/>
      <c r="S100" s="959"/>
      <c r="T100" s="845" t="s">
        <v>2219</v>
      </c>
      <c r="U100" s="845"/>
      <c r="V100" s="845"/>
      <c r="W100" s="845"/>
      <c r="X100" s="845"/>
      <c r="Y100" s="1002"/>
      <c r="Z100" s="848" t="s">
        <v>631</v>
      </c>
      <c r="AA100" s="851"/>
      <c r="AB100" s="848"/>
      <c r="AC100" s="848"/>
      <c r="AD100" s="848"/>
    </row>
    <row customHeight="1" ht="27">
      <c r="A101" s="847"/>
      <c r="B101" s="901">
        <v>84</v>
      </c>
      <c r="C101" s="845"/>
      <c r="D101" s="969"/>
      <c r="E101" s="845"/>
      <c r="F101" s="845"/>
      <c r="G101" s="845"/>
      <c r="H101" s="893"/>
      <c r="I101" s="1007" t="str">
        <f>INDEX(TEMPLATE_NUMBER_POINT_FHD,B101,MATCH(TEMPLATE_SPHERE,TEMPLATE_SPHERE_LIST_FOR_NOTE,0))</f>
        <v>19.2</v>
      </c>
      <c r="J101" s="1007" t="str">
        <f>INDEX(TEMPLATE_DATA_POINT_FHD,B101,MATCH(TEMPLATE_SPHERE,TEMPLATE_SPHERE_LIST_FOR_NOTE,0))</f>
        <v>Информация о показателях энергетической эффективности объектов теплоснабжения</v>
      </c>
      <c r="K101" s="1007" t="str">
        <f>INDEX(TEMPLATE_NOTE_POINT_FHD,B101,MATCH(TEMPLATE_SPHERE,TEMPLATE_SPHERE_LIST_FOR_NOTE,0))</f>
        <v>Указывается ссылка на документ, предварительно загруженный в хранилище файлов ФГИС ЕИАС.</v>
      </c>
      <c r="L101" s="846" t="str">
        <f>IF(I101=0,"",I101)</f>
        <v>19.2</v>
      </c>
      <c r="M101" s="846" t="str">
        <f>IF(J101=0,"",J101)</f>
        <v>Информация о показателях энергетической эффективности объектов теплоснабжения</v>
      </c>
      <c r="N101" s="846" t="str">
        <f>IF(K101=0,"",K101)</f>
        <v>Указывается ссылка на документ, предварительно загруженный в хранилище файлов ФГИС ЕИАС.</v>
      </c>
      <c r="O101" s="959" t="s">
        <v>2220</v>
      </c>
      <c r="P101" s="959"/>
      <c r="Q101" s="959"/>
      <c r="R101" s="959"/>
      <c r="S101" s="959"/>
      <c r="T101" s="845" t="s">
        <v>2221</v>
      </c>
      <c r="U101" s="845"/>
      <c r="V101" s="845"/>
      <c r="W101" s="845"/>
      <c r="X101" s="845"/>
      <c r="Y101" s="1002"/>
      <c r="Z101" s="848" t="s">
        <v>631</v>
      </c>
      <c r="AA101" s="851"/>
      <c r="AB101" s="848"/>
      <c r="AC101" s="848"/>
      <c r="AD101" s="848"/>
    </row>
    <row customHeight="1" ht="9">
      <c r="A102" s="847"/>
      <c r="B102" s="847"/>
      <c r="C102" s="845"/>
      <c r="D102" s="845"/>
      <c r="E102" s="845"/>
      <c r="F102" s="845"/>
      <c r="G102" s="845"/>
      <c r="H102" s="893"/>
      <c r="I102" s="893"/>
      <c r="J102" s="893"/>
      <c r="K102" s="893"/>
      <c r="L102" s="893"/>
      <c r="M102" s="845"/>
      <c r="N102" s="892"/>
      <c r="O102" s="959"/>
      <c r="P102" s="959"/>
      <c r="Q102" s="959"/>
      <c r="R102" s="959"/>
      <c r="S102" s="845"/>
      <c r="T102" s="845"/>
      <c r="U102" s="845"/>
      <c r="V102" s="845"/>
      <c r="W102" s="845"/>
      <c r="X102" s="845"/>
      <c r="Y102" s="1002"/>
      <c r="Z102" s="848"/>
      <c r="AA102" s="851"/>
      <c r="AB102" s="848"/>
      <c r="AC102" s="848"/>
      <c r="AD102" s="848"/>
    </row>
    <row customHeight="1" ht="9">
      <c r="A103" s="847"/>
      <c r="B103" s="847"/>
      <c r="C103" s="845"/>
      <c r="D103" s="845"/>
      <c r="E103" s="845"/>
      <c r="F103" s="845"/>
      <c r="G103" s="845"/>
      <c r="H103" s="893"/>
      <c r="I103" s="893"/>
      <c r="J103" s="893"/>
      <c r="K103" s="893"/>
      <c r="L103" s="893"/>
      <c r="M103" s="845"/>
      <c r="N103" s="892"/>
      <c r="O103" s="959"/>
      <c r="P103" s="959"/>
      <c r="Q103" s="959"/>
      <c r="R103" s="959"/>
      <c r="S103" s="845"/>
      <c r="T103" s="845"/>
      <c r="U103" s="845"/>
      <c r="V103" s="845"/>
      <c r="W103" s="845"/>
      <c r="X103" s="845"/>
      <c r="Y103" s="1002"/>
      <c r="Z103" s="848"/>
      <c r="AA103" s="851"/>
      <c r="AB103" s="848"/>
      <c r="AC103" s="848"/>
      <c r="AD103" s="848"/>
    </row>
    <row customHeight="1" ht="9">
      <c r="A104" s="847"/>
      <c r="B104" s="847"/>
      <c r="C104" s="845"/>
      <c r="D104" s="845"/>
      <c r="E104" s="845"/>
      <c r="F104" s="845"/>
      <c r="G104" s="845"/>
      <c r="H104" s="893"/>
      <c r="I104" s="893"/>
      <c r="J104" s="893"/>
      <c r="K104" s="893"/>
      <c r="L104" s="893"/>
      <c r="M104" s="845"/>
      <c r="N104" s="892"/>
      <c r="O104" s="959"/>
      <c r="P104" s="959"/>
      <c r="Q104" s="959"/>
      <c r="R104" s="959"/>
      <c r="S104" s="845"/>
      <c r="T104" s="845"/>
      <c r="U104" s="845"/>
      <c r="V104" s="845"/>
      <c r="W104" s="845"/>
      <c r="X104" s="845"/>
      <c r="Y104" s="1002"/>
      <c r="Z104" s="848"/>
      <c r="AA104" s="851"/>
      <c r="AB104" s="848"/>
      <c r="AC104" s="848"/>
      <c r="AD104" s="848"/>
    </row>
    <row customHeight="1" ht="9">
      <c r="A105" s="847"/>
      <c r="B105" s="847"/>
      <c r="C105" s="845"/>
      <c r="D105" s="845"/>
      <c r="E105" s="845"/>
      <c r="F105" s="845"/>
      <c r="G105" s="845"/>
      <c r="H105" s="893"/>
      <c r="I105" s="893"/>
      <c r="J105" s="893"/>
      <c r="K105" s="893"/>
      <c r="L105" s="893"/>
      <c r="M105" s="845"/>
      <c r="N105" s="892"/>
      <c r="O105" s="959"/>
      <c r="P105" s="959"/>
      <c r="Q105" s="959"/>
      <c r="R105" s="959"/>
      <c r="S105" s="845"/>
      <c r="T105" s="845"/>
      <c r="U105" s="845"/>
      <c r="V105" s="845"/>
      <c r="W105" s="845"/>
      <c r="X105" s="845"/>
      <c r="Y105" s="1002"/>
      <c r="Z105" s="848"/>
      <c r="AA105" s="851"/>
      <c r="AB105" s="848"/>
      <c r="AC105" s="848"/>
      <c r="AD105" s="848"/>
    </row>
    <row customHeight="1" ht="9">
      <c r="A106" s="847"/>
      <c r="B106" s="847"/>
      <c r="C106" s="845"/>
      <c r="D106" s="845"/>
      <c r="E106" s="845"/>
      <c r="F106" s="845"/>
      <c r="G106" s="845"/>
      <c r="H106" s="893"/>
      <c r="I106" s="893"/>
      <c r="J106" s="893"/>
      <c r="K106" s="893"/>
      <c r="L106" s="893"/>
      <c r="M106" s="845"/>
      <c r="N106" s="892"/>
      <c r="O106" s="959"/>
      <c r="P106" s="959"/>
      <c r="Q106" s="959"/>
      <c r="R106" s="959"/>
      <c r="S106" s="845"/>
      <c r="T106" s="845"/>
      <c r="U106" s="845"/>
      <c r="V106" s="845"/>
      <c r="W106" s="845"/>
      <c r="X106" s="845"/>
      <c r="Y106" s="1002"/>
      <c r="Z106" s="848"/>
      <c r="AA106" s="851"/>
      <c r="AB106" s="848"/>
      <c r="AC106" s="848"/>
      <c r="AD106" s="848"/>
    </row>
    <row customHeight="1" ht="9">
      <c r="A107" s="847"/>
      <c r="B107" s="847"/>
      <c r="C107" s="845"/>
      <c r="D107" s="845"/>
      <c r="E107" s="845"/>
      <c r="F107" s="845"/>
      <c r="G107" s="845"/>
      <c r="H107" s="893"/>
      <c r="I107" s="893"/>
      <c r="J107" s="893"/>
      <c r="K107" s="893"/>
      <c r="L107" s="893"/>
      <c r="M107" s="845"/>
      <c r="N107" s="892"/>
      <c r="O107" s="959"/>
      <c r="P107" s="959"/>
      <c r="Q107" s="959"/>
      <c r="R107" s="959"/>
      <c r="S107" s="845"/>
      <c r="T107" s="845"/>
      <c r="U107" s="845"/>
      <c r="V107" s="845"/>
      <c r="W107" s="845"/>
      <c r="X107" s="845"/>
      <c r="Y107" s="1002"/>
      <c r="Z107" s="848"/>
      <c r="AA107" s="851"/>
      <c r="AB107" s="848"/>
      <c r="AC107" s="848"/>
      <c r="AD107" s="848"/>
    </row>
    <row customHeight="1" ht="9">
      <c r="A108" s="847"/>
      <c r="B108" s="847"/>
      <c r="C108" s="845"/>
      <c r="D108" s="845"/>
      <c r="E108" s="845"/>
      <c r="F108" s="845"/>
      <c r="G108" s="845"/>
      <c r="H108" s="893"/>
      <c r="I108" s="893"/>
      <c r="J108" s="893"/>
      <c r="K108" s="893"/>
      <c r="L108" s="893"/>
      <c r="M108" s="845"/>
      <c r="N108" s="892"/>
      <c r="O108" s="959"/>
      <c r="P108" s="959"/>
      <c r="Q108" s="959"/>
      <c r="R108" s="959"/>
      <c r="S108" s="845"/>
      <c r="T108" s="845"/>
      <c r="U108" s="845"/>
      <c r="V108" s="845"/>
      <c r="W108" s="845"/>
      <c r="X108" s="845"/>
      <c r="Y108" s="1002"/>
      <c r="Z108" s="848"/>
      <c r="AA108" s="851"/>
      <c r="AB108" s="848"/>
      <c r="AC108" s="848"/>
      <c r="AD108" s="848"/>
    </row>
    <row customHeight="1" ht="9">
      <c r="A109" s="847"/>
      <c r="B109" s="847"/>
      <c r="C109" s="845"/>
      <c r="D109" s="845"/>
      <c r="E109" s="845"/>
      <c r="F109" s="845"/>
      <c r="G109" s="845"/>
      <c r="H109" s="893"/>
      <c r="I109" s="893"/>
      <c r="J109" s="893"/>
      <c r="K109" s="893"/>
      <c r="L109" s="893"/>
      <c r="M109" s="845"/>
      <c r="N109" s="892"/>
      <c r="O109" s="959"/>
      <c r="P109" s="959"/>
      <c r="Q109" s="959"/>
      <c r="R109" s="959"/>
      <c r="S109" s="845"/>
      <c r="T109" s="845"/>
      <c r="U109" s="845"/>
      <c r="V109" s="845"/>
      <c r="W109" s="845"/>
      <c r="X109" s="845"/>
      <c r="Y109" s="1002"/>
      <c r="Z109" s="848"/>
      <c r="AA109" s="851"/>
      <c r="AB109" s="848"/>
      <c r="AC109" s="848"/>
      <c r="AD109" s="848"/>
    </row>
    <row customHeight="1" ht="9">
      <c r="A110" s="847"/>
      <c r="B110" s="847"/>
      <c r="C110" s="845"/>
      <c r="D110" s="845"/>
      <c r="E110" s="845"/>
      <c r="F110" s="845"/>
      <c r="G110" s="845"/>
      <c r="H110" s="893"/>
      <c r="I110" s="893"/>
      <c r="J110" s="893"/>
      <c r="K110" s="893"/>
      <c r="L110" s="893"/>
      <c r="M110" s="845"/>
      <c r="N110" s="892"/>
      <c r="O110" s="959"/>
      <c r="P110" s="959"/>
      <c r="Q110" s="959"/>
      <c r="R110" s="959"/>
      <c r="S110" s="845"/>
      <c r="T110" s="845"/>
      <c r="U110" s="845"/>
      <c r="V110" s="845"/>
      <c r="W110" s="845"/>
      <c r="X110" s="845"/>
      <c r="Y110" s="1002"/>
      <c r="Z110" s="848"/>
      <c r="AA110" s="851"/>
      <c r="AB110" s="848"/>
      <c r="AC110" s="848"/>
      <c r="AD110" s="848"/>
    </row>
    <row customHeight="1" ht="9">
      <c r="A111" s="847"/>
      <c r="B111" s="847"/>
      <c r="C111" s="845"/>
      <c r="D111" s="845"/>
      <c r="E111" s="845"/>
      <c r="F111" s="845"/>
      <c r="G111" s="845"/>
      <c r="H111" s="893"/>
      <c r="I111" s="893"/>
      <c r="J111" s="893"/>
      <c r="K111" s="893"/>
      <c r="L111" s="893"/>
      <c r="M111" s="845"/>
      <c r="N111" s="892"/>
      <c r="O111" s="959"/>
      <c r="P111" s="959"/>
      <c r="Q111" s="959"/>
      <c r="R111" s="959"/>
      <c r="S111" s="845"/>
      <c r="T111" s="845"/>
      <c r="U111" s="845"/>
      <c r="V111" s="845"/>
      <c r="W111" s="845"/>
      <c r="X111" s="845"/>
      <c r="Y111" s="1002"/>
      <c r="Z111" s="848"/>
      <c r="AA111" s="851"/>
      <c r="AB111" s="848"/>
      <c r="AC111" s="848"/>
      <c r="AD111" s="848"/>
    </row>
    <row customHeight="1" ht="9">
      <c r="A112" s="847"/>
      <c r="B112" s="847"/>
      <c r="C112" s="845"/>
      <c r="D112" s="845"/>
      <c r="E112" s="845"/>
      <c r="F112" s="845"/>
      <c r="G112" s="845"/>
      <c r="H112" s="893"/>
      <c r="I112" s="893"/>
      <c r="J112" s="893"/>
      <c r="K112" s="893"/>
      <c r="L112" s="893"/>
      <c r="M112" s="845"/>
      <c r="N112" s="892"/>
      <c r="O112" s="959"/>
      <c r="P112" s="959"/>
      <c r="Q112" s="959"/>
      <c r="R112" s="959"/>
      <c r="S112" s="845"/>
      <c r="T112" s="845"/>
      <c r="U112" s="845"/>
      <c r="V112" s="845"/>
      <c r="W112" s="845"/>
      <c r="X112" s="845"/>
      <c r="Y112" s="1002"/>
      <c r="Z112" s="848"/>
      <c r="AA112" s="851"/>
      <c r="AB112" s="848"/>
      <c r="AC112" s="848"/>
      <c r="AD112" s="848"/>
    </row>
    <row customHeight="1" ht="9">
      <c r="A113" s="847"/>
      <c r="B113" s="847"/>
      <c r="C113" s="845"/>
      <c r="D113" s="845"/>
      <c r="E113" s="845"/>
      <c r="F113" s="845"/>
      <c r="G113" s="845"/>
      <c r="H113" s="893"/>
      <c r="I113" s="893"/>
      <c r="J113" s="893"/>
      <c r="K113" s="893"/>
      <c r="L113" s="893"/>
      <c r="M113" s="845"/>
      <c r="N113" s="892"/>
      <c r="O113" s="959"/>
      <c r="P113" s="959"/>
      <c r="Q113" s="959"/>
      <c r="R113" s="959"/>
      <c r="S113" s="845"/>
      <c r="T113" s="845"/>
      <c r="U113" s="845"/>
      <c r="V113" s="845"/>
      <c r="W113" s="845"/>
      <c r="X113" s="845"/>
      <c r="Y113" s="1002"/>
      <c r="Z113" s="848"/>
      <c r="AA113" s="851"/>
      <c r="AB113" s="848"/>
      <c r="AC113" s="848"/>
      <c r="AD113" s="848"/>
    </row>
    <row customHeight="1" ht="9">
      <c r="A114" s="847"/>
      <c r="B114" s="847"/>
      <c r="C114" s="845"/>
      <c r="D114" s="845"/>
      <c r="E114" s="845"/>
      <c r="F114" s="845"/>
      <c r="G114" s="845"/>
      <c r="H114" s="893"/>
      <c r="I114" s="893"/>
      <c r="J114" s="893"/>
      <c r="K114" s="893"/>
      <c r="L114" s="893"/>
      <c r="M114" s="845"/>
      <c r="N114" s="892"/>
      <c r="O114" s="959"/>
      <c r="P114" s="959"/>
      <c r="Q114" s="959"/>
      <c r="R114" s="959"/>
      <c r="S114" s="845"/>
      <c r="T114" s="845"/>
      <c r="U114" s="845"/>
      <c r="V114" s="845"/>
      <c r="W114" s="845"/>
      <c r="X114" s="845"/>
      <c r="Y114" s="1002"/>
      <c r="Z114" s="848"/>
      <c r="AA114" s="851"/>
      <c r="AB114" s="848"/>
      <c r="AC114" s="848"/>
      <c r="AD114" s="848"/>
    </row>
    <row customHeight="1" ht="9">
      <c r="A115" s="847"/>
      <c r="B115" s="847"/>
      <c r="C115" s="845"/>
      <c r="D115" s="845"/>
      <c r="E115" s="845"/>
      <c r="F115" s="845"/>
      <c r="G115" s="845"/>
      <c r="H115" s="893"/>
      <c r="I115" s="893"/>
      <c r="J115" s="893"/>
      <c r="K115" s="893"/>
      <c r="L115" s="893"/>
      <c r="M115" s="845"/>
      <c r="N115" s="892"/>
      <c r="O115" s="959"/>
      <c r="P115" s="959"/>
      <c r="Q115" s="959"/>
      <c r="R115" s="959"/>
      <c r="S115" s="845"/>
      <c r="T115" s="845"/>
      <c r="U115" s="845"/>
      <c r="V115" s="845"/>
      <c r="W115" s="845"/>
      <c r="X115" s="845"/>
      <c r="Y115" s="1002"/>
      <c r="Z115" s="848"/>
      <c r="AA115" s="851"/>
      <c r="AB115" s="848"/>
      <c r="AC115" s="848"/>
      <c r="AD115" s="848"/>
    </row>
    <row customHeight="1" ht="9">
      <c r="A116" s="847"/>
      <c r="B116" s="847"/>
      <c r="C116" s="845"/>
      <c r="D116" s="845"/>
      <c r="E116" s="845"/>
      <c r="F116" s="845"/>
      <c r="G116" s="845"/>
      <c r="H116" s="893"/>
      <c r="I116" s="893"/>
      <c r="J116" s="893"/>
      <c r="K116" s="893"/>
      <c r="L116" s="893"/>
      <c r="M116" s="845"/>
      <c r="N116" s="892"/>
      <c r="O116" s="959"/>
      <c r="P116" s="959"/>
      <c r="Q116" s="959"/>
      <c r="R116" s="959"/>
      <c r="S116" s="845"/>
      <c r="T116" s="845"/>
      <c r="U116" s="845"/>
      <c r="V116" s="845"/>
      <c r="W116" s="845"/>
      <c r="X116" s="845"/>
      <c r="Y116" s="1002"/>
      <c r="Z116" s="848"/>
      <c r="AA116" s="851"/>
      <c r="AB116" s="848"/>
      <c r="AC116" s="848"/>
      <c r="AD116" s="848"/>
    </row>
    <row customHeight="1" ht="9">
      <c r="A117" s="847"/>
      <c r="B117" s="847"/>
      <c r="C117" s="845"/>
      <c r="D117" s="845"/>
      <c r="E117" s="845"/>
      <c r="F117" s="845"/>
      <c r="G117" s="845"/>
      <c r="H117" s="893"/>
      <c r="I117" s="893"/>
      <c r="J117" s="893"/>
      <c r="K117" s="893"/>
      <c r="L117" s="893"/>
      <c r="M117" s="845"/>
      <c r="N117" s="892"/>
      <c r="O117" s="959"/>
      <c r="P117" s="959"/>
      <c r="Q117" s="959"/>
      <c r="R117" s="959"/>
      <c r="S117" s="845"/>
      <c r="T117" s="845"/>
      <c r="U117" s="845"/>
      <c r="V117" s="845"/>
      <c r="W117" s="845"/>
      <c r="X117" s="845"/>
      <c r="Y117" s="1002"/>
      <c r="Z117" s="848"/>
      <c r="AA117" s="851"/>
      <c r="AB117" s="848"/>
      <c r="AC117" s="848"/>
      <c r="AD117" s="848"/>
    </row>
    <row customHeight="1" ht="9">
      <c r="A118" s="847"/>
      <c r="B118" s="847"/>
      <c r="C118" s="845"/>
      <c r="D118" s="845"/>
      <c r="E118" s="845"/>
      <c r="F118" s="845"/>
      <c r="G118" s="845"/>
      <c r="H118" s="893"/>
      <c r="I118" s="893"/>
      <c r="J118" s="893"/>
      <c r="K118" s="893"/>
      <c r="L118" s="893"/>
      <c r="M118" s="845"/>
      <c r="N118" s="892"/>
      <c r="O118" s="959"/>
      <c r="P118" s="959"/>
      <c r="Q118" s="959"/>
      <c r="R118" s="959"/>
      <c r="S118" s="845"/>
      <c r="T118" s="845"/>
      <c r="U118" s="845"/>
      <c r="V118" s="845"/>
      <c r="W118" s="845"/>
      <c r="X118" s="845"/>
      <c r="Y118" s="1002"/>
      <c r="Z118" s="848"/>
      <c r="AA118" s="851"/>
      <c r="AB118" s="848"/>
      <c r="AC118" s="848"/>
      <c r="AD118" s="848"/>
    </row>
    <row customHeight="1" ht="9">
      <c r="A119" s="847"/>
      <c r="B119" s="847"/>
      <c r="C119" s="845"/>
      <c r="D119" s="845"/>
      <c r="E119" s="845"/>
      <c r="F119" s="845"/>
      <c r="G119" s="845"/>
      <c r="H119" s="893"/>
      <c r="I119" s="893"/>
      <c r="J119" s="893"/>
      <c r="K119" s="893"/>
      <c r="L119" s="893"/>
      <c r="M119" s="845"/>
      <c r="N119" s="892"/>
      <c r="O119" s="959"/>
      <c r="P119" s="959"/>
      <c r="Q119" s="959"/>
      <c r="R119" s="959"/>
      <c r="S119" s="845"/>
      <c r="T119" s="845"/>
      <c r="U119" s="845"/>
      <c r="V119" s="845"/>
      <c r="W119" s="845"/>
      <c r="X119" s="845"/>
      <c r="Y119" s="1002"/>
      <c r="Z119" s="848"/>
      <c r="AA119" s="851"/>
      <c r="AB119" s="848"/>
      <c r="AC119" s="848"/>
      <c r="AD119" s="848"/>
    </row>
    <row customHeight="1" ht="9">
      <c r="A120" s="847"/>
      <c r="B120" s="847"/>
      <c r="C120" s="845"/>
      <c r="D120" s="845"/>
      <c r="E120" s="845"/>
      <c r="F120" s="845"/>
      <c r="G120" s="845"/>
      <c r="H120" s="893"/>
      <c r="I120" s="893"/>
      <c r="J120" s="893"/>
      <c r="K120" s="893"/>
      <c r="L120" s="893"/>
      <c r="M120" s="845"/>
      <c r="N120" s="892"/>
      <c r="O120" s="959"/>
      <c r="P120" s="959"/>
      <c r="Q120" s="959"/>
      <c r="R120" s="959"/>
      <c r="S120" s="845"/>
      <c r="T120" s="845"/>
      <c r="U120" s="845"/>
      <c r="V120" s="845"/>
      <c r="W120" s="845"/>
      <c r="X120" s="845"/>
      <c r="Y120" s="1002"/>
      <c r="Z120" s="848"/>
      <c r="AA120" s="851"/>
      <c r="AB120" s="848"/>
      <c r="AC120" s="848"/>
      <c r="AD120" s="848"/>
    </row>
    <row customHeight="1" ht="9">
      <c r="A121" s="847"/>
      <c r="B121" s="847"/>
      <c r="C121" s="845"/>
      <c r="D121" s="845"/>
      <c r="E121" s="845"/>
      <c r="F121" s="845"/>
      <c r="G121" s="845"/>
      <c r="H121" s="893"/>
      <c r="I121" s="893"/>
      <c r="J121" s="893"/>
      <c r="K121" s="893"/>
      <c r="L121" s="893"/>
      <c r="M121" s="845"/>
      <c r="N121" s="892"/>
      <c r="O121" s="959"/>
      <c r="P121" s="959"/>
      <c r="Q121" s="959"/>
      <c r="R121" s="959"/>
      <c r="S121" s="845"/>
      <c r="T121" s="845"/>
      <c r="U121" s="845"/>
      <c r="V121" s="845"/>
      <c r="W121" s="845"/>
      <c r="X121" s="845"/>
      <c r="Y121" s="1002"/>
      <c r="Z121" s="848"/>
      <c r="AA121" s="851"/>
      <c r="AB121" s="848"/>
      <c r="AC121" s="848"/>
      <c r="AD121" s="848"/>
    </row>
    <row customHeight="1" ht="9">
      <c r="A122" s="847"/>
      <c r="B122" s="847"/>
      <c r="C122" s="845"/>
      <c r="D122" s="845"/>
      <c r="E122" s="845"/>
      <c r="F122" s="845"/>
      <c r="G122" s="845"/>
      <c r="H122" s="893"/>
      <c r="I122" s="893"/>
      <c r="J122" s="893"/>
      <c r="K122" s="893"/>
      <c r="L122" s="893"/>
      <c r="M122" s="845"/>
      <c r="N122" s="892"/>
      <c r="O122" s="959"/>
      <c r="P122" s="959"/>
      <c r="Q122" s="959"/>
      <c r="R122" s="959"/>
      <c r="S122" s="845"/>
      <c r="T122" s="845"/>
      <c r="U122" s="845"/>
      <c r="V122" s="845"/>
      <c r="W122" s="845"/>
      <c r="X122" s="845"/>
      <c r="Y122" s="1002"/>
      <c r="Z122" s="848"/>
      <c r="AA122" s="851"/>
      <c r="AB122" s="848"/>
      <c r="AC122" s="848"/>
      <c r="AD122" s="848"/>
    </row>
    <row customHeight="1" ht="9">
      <c r="A123" s="847"/>
      <c r="B123" s="847"/>
      <c r="C123" s="845"/>
      <c r="D123" s="845"/>
      <c r="E123" s="845"/>
      <c r="F123" s="845"/>
      <c r="G123" s="845"/>
      <c r="H123" s="893"/>
      <c r="I123" s="893"/>
      <c r="J123" s="893"/>
      <c r="K123" s="893"/>
      <c r="L123" s="893"/>
      <c r="M123" s="845"/>
      <c r="N123" s="892"/>
      <c r="O123" s="959"/>
      <c r="P123" s="959"/>
      <c r="Q123" s="959"/>
      <c r="R123" s="959"/>
      <c r="S123" s="845"/>
      <c r="T123" s="845"/>
      <c r="U123" s="845"/>
      <c r="V123" s="845"/>
      <c r="W123" s="845"/>
      <c r="X123" s="845"/>
      <c r="Y123" s="1002"/>
      <c r="Z123" s="848"/>
      <c r="AA123" s="851"/>
      <c r="AB123" s="848"/>
      <c r="AC123" s="848"/>
      <c r="AD123" s="848"/>
    </row>
    <row customHeight="1" ht="9">
      <c r="A124" s="847"/>
      <c r="B124" s="847"/>
      <c r="C124" s="845"/>
      <c r="D124" s="845"/>
      <c r="E124" s="845"/>
      <c r="F124" s="845"/>
      <c r="G124" s="845"/>
      <c r="H124" s="893"/>
      <c r="I124" s="893"/>
      <c r="J124" s="893"/>
      <c r="K124" s="893"/>
      <c r="L124" s="893"/>
      <c r="M124" s="845"/>
      <c r="N124" s="892"/>
      <c r="O124" s="959"/>
      <c r="P124" s="959"/>
      <c r="Q124" s="959"/>
      <c r="R124" s="959"/>
      <c r="S124" s="845"/>
      <c r="T124" s="845"/>
      <c r="U124" s="845"/>
      <c r="V124" s="845"/>
      <c r="W124" s="845"/>
      <c r="X124" s="845"/>
      <c r="Y124" s="1002"/>
      <c r="Z124" s="848"/>
      <c r="AA124" s="851"/>
      <c r="AB124" s="848"/>
      <c r="AC124" s="848"/>
      <c r="AD124" s="848"/>
    </row>
    <row customHeight="1" ht="9">
      <c r="A125" s="847"/>
      <c r="B125" s="847"/>
      <c r="C125" s="845"/>
      <c r="D125" s="845"/>
      <c r="E125" s="845"/>
      <c r="F125" s="845"/>
      <c r="G125" s="845"/>
      <c r="H125" s="893"/>
      <c r="I125" s="893"/>
      <c r="J125" s="893"/>
      <c r="K125" s="893"/>
      <c r="L125" s="893"/>
      <c r="M125" s="845"/>
      <c r="N125" s="892"/>
      <c r="O125" s="959"/>
      <c r="P125" s="959"/>
      <c r="Q125" s="959"/>
      <c r="R125" s="959"/>
      <c r="S125" s="845"/>
      <c r="T125" s="845"/>
      <c r="U125" s="845"/>
      <c r="V125" s="845"/>
      <c r="W125" s="845"/>
      <c r="X125" s="845"/>
      <c r="Y125" s="1002"/>
      <c r="Z125" s="848"/>
      <c r="AA125" s="851"/>
      <c r="AB125" s="848"/>
      <c r="AC125" s="848"/>
      <c r="AD125" s="848"/>
    </row>
    <row customHeight="1" ht="9">
      <c r="A126" s="847"/>
      <c r="B126" s="847"/>
      <c r="C126" s="845"/>
      <c r="D126" s="845"/>
      <c r="E126" s="845"/>
      <c r="F126" s="845"/>
      <c r="G126" s="845"/>
      <c r="H126" s="893"/>
      <c r="I126" s="893"/>
      <c r="J126" s="893"/>
      <c r="K126" s="893"/>
      <c r="L126" s="893"/>
      <c r="M126" s="845"/>
      <c r="N126" s="892"/>
      <c r="O126" s="959"/>
      <c r="P126" s="959"/>
      <c r="Q126" s="959"/>
      <c r="R126" s="959"/>
      <c r="S126" s="845"/>
      <c r="T126" s="845"/>
      <c r="U126" s="845"/>
      <c r="V126" s="845"/>
      <c r="W126" s="845"/>
      <c r="X126" s="845"/>
      <c r="Y126" s="1002"/>
      <c r="Z126" s="848"/>
      <c r="AA126" s="851"/>
      <c r="AB126" s="848"/>
      <c r="AC126" s="848"/>
      <c r="AD126" s="848"/>
    </row>
    <row customHeight="1" ht="9">
      <c r="A127" s="847"/>
      <c r="B127" s="847"/>
      <c r="C127" s="845"/>
      <c r="D127" s="845"/>
      <c r="E127" s="845"/>
      <c r="F127" s="845"/>
      <c r="G127" s="845"/>
      <c r="H127" s="893"/>
      <c r="I127" s="893"/>
      <c r="J127" s="893"/>
      <c r="K127" s="893"/>
      <c r="L127" s="893"/>
      <c r="M127" s="845"/>
      <c r="N127" s="892"/>
      <c r="O127" s="959"/>
      <c r="P127" s="959"/>
      <c r="Q127" s="959"/>
      <c r="R127" s="959"/>
      <c r="S127" s="845"/>
      <c r="T127" s="845"/>
      <c r="U127" s="845"/>
      <c r="V127" s="845"/>
      <c r="W127" s="845"/>
      <c r="X127" s="845"/>
      <c r="Y127" s="1002"/>
      <c r="Z127" s="848"/>
      <c r="AA127" s="851"/>
      <c r="AB127" s="848"/>
      <c r="AC127" s="848"/>
      <c r="AD127" s="848"/>
    </row>
    <row customHeight="1" ht="9">
      <c r="A128" s="847"/>
      <c r="B128" s="847"/>
      <c r="C128" s="845"/>
      <c r="D128" s="845"/>
      <c r="E128" s="845"/>
      <c r="F128" s="845"/>
      <c r="G128" s="845"/>
      <c r="H128" s="893"/>
      <c r="I128" s="893"/>
      <c r="J128" s="893"/>
      <c r="K128" s="893"/>
      <c r="L128" s="893"/>
      <c r="M128" s="845"/>
      <c r="N128" s="892"/>
      <c r="O128" s="959"/>
      <c r="P128" s="959"/>
      <c r="Q128" s="959"/>
      <c r="R128" s="959"/>
      <c r="S128" s="845"/>
      <c r="T128" s="845"/>
      <c r="U128" s="845"/>
      <c r="V128" s="845"/>
      <c r="W128" s="845"/>
      <c r="X128" s="845"/>
      <c r="Y128" s="1002"/>
      <c r="Z128" s="848"/>
      <c r="AA128" s="851"/>
      <c r="AB128" s="848"/>
      <c r="AC128" s="848"/>
      <c r="AD128" s="848"/>
    </row>
    <row customHeight="1" ht="9">
      <c r="A129" s="847"/>
      <c r="B129" s="847"/>
      <c r="C129" s="845"/>
      <c r="D129" s="845"/>
      <c r="E129" s="845"/>
      <c r="F129" s="845"/>
      <c r="G129" s="845"/>
      <c r="H129" s="893"/>
      <c r="I129" s="893"/>
      <c r="J129" s="893"/>
      <c r="K129" s="893"/>
      <c r="L129" s="893"/>
      <c r="M129" s="845"/>
      <c r="N129" s="892"/>
      <c r="O129" s="959"/>
      <c r="P129" s="959"/>
      <c r="Q129" s="959"/>
      <c r="R129" s="959"/>
      <c r="S129" s="845"/>
      <c r="T129" s="845"/>
      <c r="U129" s="845"/>
      <c r="V129" s="845"/>
      <c r="W129" s="845"/>
      <c r="X129" s="845"/>
      <c r="Y129" s="1002"/>
      <c r="Z129" s="848"/>
      <c r="AA129" s="851"/>
      <c r="AB129" s="848"/>
      <c r="AC129" s="848"/>
      <c r="AD129" s="848"/>
    </row>
    <row customHeight="1" ht="9">
      <c r="A130" s="847"/>
      <c r="B130" s="847"/>
      <c r="C130" s="845"/>
      <c r="D130" s="845"/>
      <c r="E130" s="845"/>
      <c r="F130" s="845"/>
      <c r="G130" s="845"/>
      <c r="H130" s="893"/>
      <c r="I130" s="893"/>
      <c r="J130" s="893"/>
      <c r="K130" s="893"/>
      <c r="L130" s="893"/>
      <c r="M130" s="845"/>
      <c r="N130" s="892"/>
      <c r="O130" s="961"/>
      <c r="P130" s="961"/>
      <c r="Q130" s="961"/>
      <c r="R130" s="961"/>
      <c r="S130" s="845"/>
      <c r="T130" s="845"/>
      <c r="U130" s="845"/>
      <c r="V130" s="845"/>
      <c r="W130" s="845"/>
      <c r="X130" s="845"/>
      <c r="Y130" s="1002"/>
      <c r="Z130" s="848"/>
      <c r="AA130" s="851"/>
      <c r="AB130" s="848"/>
      <c r="AC130" s="848"/>
      <c r="AD130" s="848"/>
    </row>
    <row customHeight="1" ht="9">
      <c r="A131" s="847"/>
      <c r="B131" s="847"/>
      <c r="C131" s="845"/>
      <c r="D131" s="845"/>
      <c r="E131" s="845"/>
      <c r="F131" s="845"/>
      <c r="G131" s="845"/>
      <c r="H131" s="893"/>
      <c r="I131" s="893"/>
      <c r="J131" s="893"/>
      <c r="K131" s="893"/>
      <c r="L131" s="893"/>
      <c r="M131" s="845"/>
      <c r="N131" s="892"/>
      <c r="O131" s="962"/>
      <c r="P131" s="962"/>
      <c r="Q131" s="962"/>
      <c r="R131" s="962"/>
      <c r="S131" s="845"/>
      <c r="T131" s="845"/>
      <c r="U131" s="845"/>
      <c r="V131" s="845"/>
      <c r="W131" s="845"/>
      <c r="X131" s="845"/>
      <c r="Y131" s="1002"/>
      <c r="Z131" s="848"/>
      <c r="AA131" s="851"/>
      <c r="AB131" s="848"/>
      <c r="AC131" s="848"/>
      <c r="AD131" s="848"/>
    </row>
    <row customHeight="1" ht="9">
      <c r="A132" s="847"/>
      <c r="B132" s="847"/>
      <c r="C132" s="845"/>
      <c r="D132" s="845"/>
      <c r="E132" s="845"/>
      <c r="F132" s="845"/>
      <c r="G132" s="845"/>
      <c r="H132" s="893"/>
      <c r="I132" s="893"/>
      <c r="J132" s="893"/>
      <c r="K132" s="893"/>
      <c r="L132" s="893"/>
      <c r="M132" s="845"/>
      <c r="N132" s="892"/>
      <c r="O132" s="961"/>
      <c r="P132" s="961"/>
      <c r="Q132" s="961"/>
      <c r="R132" s="961"/>
      <c r="S132" s="845"/>
      <c r="T132" s="845"/>
      <c r="U132" s="845"/>
      <c r="V132" s="845"/>
      <c r="W132" s="845"/>
      <c r="X132" s="845"/>
      <c r="Y132" s="1002"/>
      <c r="Z132" s="848"/>
      <c r="AA132" s="851"/>
      <c r="AB132" s="848"/>
      <c r="AC132" s="848"/>
      <c r="AD132" s="848"/>
    </row>
    <row customHeight="1" ht="9">
      <c r="A133" s="847"/>
      <c r="B133" s="847"/>
      <c r="C133" s="845"/>
      <c r="D133" s="845"/>
      <c r="E133" s="845"/>
      <c r="F133" s="845"/>
      <c r="G133" s="845"/>
      <c r="H133" s="893"/>
      <c r="I133" s="893"/>
      <c r="J133" s="893"/>
      <c r="K133" s="893"/>
      <c r="L133" s="893"/>
      <c r="M133" s="845"/>
      <c r="N133" s="892"/>
      <c r="O133" s="962"/>
      <c r="P133" s="962"/>
      <c r="Q133" s="962"/>
      <c r="R133" s="962"/>
      <c r="S133" s="845"/>
      <c r="T133" s="845"/>
      <c r="U133" s="845"/>
      <c r="V133" s="845"/>
      <c r="W133" s="845"/>
      <c r="X133" s="845"/>
      <c r="Y133" s="1002"/>
      <c r="Z133" s="848"/>
      <c r="AA133" s="851"/>
      <c r="AB133" s="848"/>
      <c r="AC133" s="848"/>
      <c r="AD133" s="848"/>
    </row>
    <row customHeight="1" ht="9">
      <c r="A134" s="847"/>
      <c r="B134" s="847"/>
      <c r="C134" s="845"/>
      <c r="D134" s="845"/>
      <c r="E134" s="845"/>
      <c r="F134" s="845"/>
      <c r="G134" s="845"/>
      <c r="H134" s="893"/>
      <c r="I134" s="893"/>
      <c r="J134" s="893"/>
      <c r="K134" s="893"/>
      <c r="L134" s="893"/>
      <c r="M134" s="845"/>
      <c r="N134" s="892"/>
      <c r="O134" s="959"/>
      <c r="P134" s="959"/>
      <c r="Q134" s="959"/>
      <c r="R134" s="959"/>
      <c r="S134" s="845"/>
      <c r="T134" s="845"/>
      <c r="U134" s="845"/>
      <c r="V134" s="845"/>
      <c r="W134" s="845"/>
      <c r="X134" s="845"/>
      <c r="Y134" s="1002"/>
      <c r="Z134" s="848"/>
      <c r="AA134" s="851"/>
      <c r="AB134" s="848"/>
      <c r="AC134" s="848"/>
      <c r="AD134" s="848"/>
    </row>
    <row customHeight="1" ht="9">
      <c r="A135" s="847"/>
      <c r="B135" s="847"/>
      <c r="C135" s="845"/>
      <c r="D135" s="845"/>
      <c r="E135" s="845"/>
      <c r="F135" s="845"/>
      <c r="G135" s="845"/>
      <c r="H135" s="893"/>
      <c r="I135" s="893"/>
      <c r="J135" s="893"/>
      <c r="K135" s="893"/>
      <c r="L135" s="893"/>
      <c r="M135" s="845"/>
      <c r="N135" s="892"/>
      <c r="O135" s="959"/>
      <c r="P135" s="959"/>
      <c r="Q135" s="959"/>
      <c r="R135" s="959"/>
      <c r="S135" s="845"/>
      <c r="T135" s="845"/>
      <c r="U135" s="845"/>
      <c r="V135" s="845"/>
      <c r="W135" s="845"/>
      <c r="X135" s="845"/>
      <c r="Y135" s="1002"/>
      <c r="Z135" s="848"/>
      <c r="AA135" s="851"/>
      <c r="AB135" s="848"/>
      <c r="AC135" s="848"/>
      <c r="AD135" s="848"/>
    </row>
    <row customHeight="1" ht="9">
      <c r="A136" s="847"/>
      <c r="B136" s="847"/>
      <c r="C136" s="845"/>
      <c r="D136" s="845"/>
      <c r="E136" s="845"/>
      <c r="F136" s="845"/>
      <c r="G136" s="845"/>
      <c r="H136" s="893"/>
      <c r="I136" s="893"/>
      <c r="J136" s="893"/>
      <c r="K136" s="893"/>
      <c r="L136" s="893"/>
      <c r="M136" s="845"/>
      <c r="N136" s="892"/>
      <c r="O136" s="959"/>
      <c r="P136" s="959"/>
      <c r="Q136" s="959"/>
      <c r="R136" s="959"/>
      <c r="S136" s="845"/>
      <c r="T136" s="845"/>
      <c r="U136" s="845"/>
      <c r="V136" s="845"/>
      <c r="W136" s="845"/>
      <c r="X136" s="845"/>
      <c r="Y136" s="1002"/>
      <c r="Z136" s="848"/>
      <c r="AA136" s="851"/>
      <c r="AB136" s="848"/>
      <c r="AC136" s="848"/>
      <c r="AD136" s="848"/>
    </row>
    <row customHeight="1" ht="9">
      <c r="A137" s="847"/>
      <c r="B137" s="847"/>
      <c r="C137" s="845"/>
      <c r="D137" s="845"/>
      <c r="E137" s="845"/>
      <c r="F137" s="845"/>
      <c r="G137" s="845"/>
      <c r="H137" s="893"/>
      <c r="I137" s="893"/>
      <c r="J137" s="893"/>
      <c r="K137" s="893"/>
      <c r="L137" s="893"/>
      <c r="M137" s="845"/>
      <c r="N137" s="892"/>
      <c r="O137" s="963"/>
      <c r="P137" s="963"/>
      <c r="Q137" s="963"/>
      <c r="R137" s="963"/>
      <c r="S137" s="845"/>
      <c r="T137" s="845"/>
      <c r="U137" s="845"/>
      <c r="V137" s="845"/>
      <c r="W137" s="845"/>
      <c r="X137" s="845"/>
      <c r="Y137" s="1002"/>
      <c r="Z137" s="848"/>
      <c r="AA137" s="851"/>
      <c r="AB137" s="848"/>
      <c r="AC137" s="848"/>
      <c r="AD137" s="848"/>
    </row>
    <row customHeight="1" ht="9">
      <c r="A138" s="847"/>
      <c r="B138" s="847"/>
      <c r="C138" s="845"/>
      <c r="D138" s="845"/>
      <c r="E138" s="845"/>
      <c r="F138" s="845"/>
      <c r="G138" s="845"/>
      <c r="H138" s="893"/>
      <c r="I138" s="893"/>
      <c r="J138" s="893"/>
      <c r="K138" s="893"/>
      <c r="L138" s="893"/>
      <c r="M138" s="845"/>
      <c r="N138" s="892"/>
      <c r="O138" s="960"/>
      <c r="P138" s="960"/>
      <c r="Q138" s="960"/>
      <c r="R138" s="960"/>
      <c r="S138" s="845"/>
      <c r="T138" s="845"/>
      <c r="U138" s="845"/>
      <c r="V138" s="845"/>
      <c r="W138" s="845"/>
      <c r="X138" s="845"/>
      <c r="Y138" s="1002"/>
      <c r="Z138" s="848"/>
      <c r="AA138" s="851"/>
      <c r="AB138" s="848"/>
      <c r="AC138" s="848"/>
      <c r="AD138" s="848"/>
    </row>
    <row customHeight="1" ht="9">
      <c r="A139" s="847"/>
      <c r="B139" s="847"/>
      <c r="C139" s="845"/>
      <c r="D139" s="845"/>
      <c r="E139" s="845"/>
      <c r="F139" s="845"/>
      <c r="G139" s="845"/>
      <c r="H139" s="893"/>
      <c r="I139" s="893"/>
      <c r="J139" s="893"/>
      <c r="K139" s="893"/>
      <c r="L139" s="893"/>
      <c r="M139" s="845"/>
      <c r="N139" s="892"/>
      <c r="O139" s="845"/>
      <c r="P139" s="845"/>
      <c r="Q139" s="845"/>
      <c r="R139" s="845"/>
      <c r="S139" s="845"/>
      <c r="T139" s="845"/>
      <c r="U139" s="845"/>
      <c r="V139" s="845"/>
      <c r="W139" s="845"/>
      <c r="X139" s="845"/>
      <c r="Y139" s="1002"/>
      <c r="Z139" s="848"/>
      <c r="AA139" s="851"/>
      <c r="AB139" s="848"/>
      <c r="AC139" s="848"/>
      <c r="AD139" s="848"/>
    </row>
    <row customHeight="1" ht="9">
      <c r="A140" s="847"/>
      <c r="B140" s="847"/>
      <c r="C140" s="845"/>
      <c r="D140" s="845"/>
      <c r="E140" s="845"/>
      <c r="F140" s="845"/>
      <c r="G140" s="845"/>
      <c r="H140" s="893"/>
      <c r="I140" s="893"/>
      <c r="J140" s="893"/>
      <c r="K140" s="893"/>
      <c r="L140" s="893"/>
      <c r="M140" s="845"/>
      <c r="N140" s="892"/>
      <c r="O140" s="845"/>
      <c r="P140" s="845"/>
      <c r="Q140" s="845"/>
      <c r="R140" s="845"/>
      <c r="S140" s="845"/>
      <c r="T140" s="845"/>
      <c r="U140" s="845"/>
      <c r="V140" s="845"/>
      <c r="W140" s="845"/>
      <c r="X140" s="845"/>
      <c r="Y140" s="1002"/>
      <c r="Z140" s="848"/>
      <c r="AA140" s="851"/>
      <c r="AB140" s="848"/>
      <c r="AC140" s="848"/>
      <c r="AD140" s="848"/>
    </row>
    <row customHeight="1" ht="9">
      <c r="A141" s="847"/>
      <c r="B141" s="847"/>
      <c r="C141" s="845"/>
      <c r="D141" s="845"/>
      <c r="E141" s="845"/>
      <c r="F141" s="845"/>
      <c r="G141" s="845"/>
      <c r="H141" s="893"/>
      <c r="I141" s="893"/>
      <c r="J141" s="893"/>
      <c r="K141" s="893"/>
      <c r="L141" s="893"/>
      <c r="M141" s="845"/>
      <c r="N141" s="892"/>
      <c r="O141" s="845"/>
      <c r="P141" s="845"/>
      <c r="Q141" s="845"/>
      <c r="R141" s="845"/>
      <c r="S141" s="845"/>
      <c r="T141" s="845"/>
      <c r="U141" s="845"/>
      <c r="V141" s="845"/>
      <c r="W141" s="845"/>
      <c r="X141" s="845"/>
      <c r="Y141" s="1002"/>
      <c r="Z141" s="848"/>
      <c r="AA141" s="851"/>
      <c r="AB141" s="848"/>
      <c r="AC141" s="848"/>
      <c r="AD141" s="848"/>
    </row>
    <row customHeight="1" ht="9">
      <c r="A142" s="847"/>
      <c r="B142" s="847"/>
      <c r="C142" s="845"/>
      <c r="D142" s="845"/>
      <c r="E142" s="845"/>
      <c r="F142" s="845"/>
      <c r="G142" s="845"/>
      <c r="H142" s="893"/>
      <c r="I142" s="893"/>
      <c r="J142" s="893"/>
      <c r="K142" s="893"/>
      <c r="L142" s="893"/>
      <c r="M142" s="845"/>
      <c r="N142" s="892"/>
      <c r="O142" s="845"/>
      <c r="P142" s="845"/>
      <c r="Q142" s="845"/>
      <c r="R142" s="845"/>
      <c r="S142" s="845"/>
      <c r="T142" s="845"/>
      <c r="U142" s="845"/>
      <c r="V142" s="845"/>
      <c r="W142" s="845"/>
      <c r="X142" s="845"/>
      <c r="Y142" s="1002"/>
      <c r="Z142" s="848"/>
      <c r="AA142" s="851"/>
      <c r="AB142" s="848"/>
      <c r="AC142" s="848"/>
      <c r="AD142" s="848"/>
    </row>
    <row customHeight="1" ht="9">
      <c r="A143" s="847"/>
      <c r="B143" s="847"/>
      <c r="C143" s="845"/>
      <c r="D143" s="845"/>
      <c r="E143" s="845"/>
      <c r="F143" s="845"/>
      <c r="G143" s="845"/>
      <c r="H143" s="893"/>
      <c r="I143" s="893"/>
      <c r="J143" s="893"/>
      <c r="K143" s="893"/>
      <c r="L143" s="893"/>
      <c r="M143" s="845"/>
      <c r="N143" s="892"/>
      <c r="O143" s="845"/>
      <c r="P143" s="845"/>
      <c r="Q143" s="845"/>
      <c r="R143" s="845"/>
      <c r="S143" s="845"/>
      <c r="T143" s="845"/>
      <c r="U143" s="845"/>
      <c r="V143" s="845"/>
      <c r="W143" s="845"/>
      <c r="X143" s="845"/>
      <c r="Y143" s="1002"/>
      <c r="Z143" s="848"/>
      <c r="AA143" s="851"/>
      <c r="AB143" s="848"/>
      <c r="AC143" s="848"/>
      <c r="AD143" s="848"/>
    </row>
    <row customHeight="1" ht="9">
      <c r="A144" s="847"/>
      <c r="B144" s="847"/>
      <c r="C144" s="845"/>
      <c r="D144" s="845"/>
      <c r="E144" s="845"/>
      <c r="F144" s="845"/>
      <c r="G144" s="845"/>
      <c r="H144" s="893"/>
      <c r="I144" s="893"/>
      <c r="J144" s="893"/>
      <c r="K144" s="893"/>
      <c r="L144" s="893"/>
      <c r="M144" s="845"/>
      <c r="N144" s="892"/>
      <c r="O144" s="845"/>
      <c r="P144" s="845"/>
      <c r="Q144" s="845"/>
      <c r="R144" s="845"/>
      <c r="S144" s="845"/>
      <c r="T144" s="845"/>
      <c r="U144" s="845"/>
      <c r="V144" s="845"/>
      <c r="W144" s="845"/>
      <c r="X144" s="845"/>
      <c r="Y144" s="1002"/>
      <c r="Z144" s="848"/>
      <c r="AA144" s="851"/>
      <c r="AB144" s="848"/>
      <c r="AC144" s="848"/>
      <c r="AD144" s="848"/>
    </row>
    <row customHeight="1" ht="9">
      <c r="A145" s="847"/>
      <c r="B145" s="847"/>
      <c r="C145" s="845"/>
      <c r="D145" s="845"/>
      <c r="E145" s="845"/>
      <c r="F145" s="845"/>
      <c r="G145" s="845"/>
      <c r="H145" s="893"/>
      <c r="I145" s="893"/>
      <c r="J145" s="893"/>
      <c r="K145" s="893"/>
      <c r="L145" s="893"/>
      <c r="M145" s="845"/>
      <c r="N145" s="892"/>
      <c r="O145" s="845"/>
      <c r="P145" s="845"/>
      <c r="Q145" s="845"/>
      <c r="R145" s="845"/>
      <c r="S145" s="845"/>
      <c r="T145" s="845"/>
      <c r="U145" s="845"/>
      <c r="V145" s="845"/>
      <c r="W145" s="845"/>
      <c r="X145" s="845"/>
      <c r="Y145" s="1002"/>
      <c r="Z145" s="848"/>
      <c r="AA145" s="851"/>
      <c r="AB145" s="848"/>
      <c r="AC145" s="848"/>
      <c r="AD145" s="848"/>
    </row>
    <row customHeight="1" ht="9">
      <c r="A146" s="847"/>
      <c r="B146" s="847"/>
      <c r="C146" s="845"/>
      <c r="D146" s="845"/>
      <c r="E146" s="845"/>
      <c r="F146" s="845"/>
      <c r="G146" s="845"/>
      <c r="H146" s="893"/>
      <c r="I146" s="893"/>
      <c r="J146" s="893"/>
      <c r="K146" s="893"/>
      <c r="L146" s="893"/>
      <c r="M146" s="845"/>
      <c r="N146" s="892"/>
      <c r="O146" s="845"/>
      <c r="P146" s="845"/>
      <c r="Q146" s="845"/>
      <c r="R146" s="845"/>
      <c r="S146" s="845"/>
      <c r="T146" s="845"/>
      <c r="U146" s="845"/>
      <c r="V146" s="845"/>
      <c r="W146" s="845"/>
      <c r="X146" s="845"/>
      <c r="Y146" s="1002"/>
      <c r="Z146" s="848"/>
      <c r="AA146" s="851"/>
      <c r="AB146" s="848"/>
      <c r="AC146" s="848"/>
      <c r="AD146" s="848"/>
    </row>
    <row customHeight="1" ht="9">
      <c r="A147" s="847"/>
      <c r="B147" s="847"/>
      <c r="C147" s="847"/>
      <c r="D147" s="847"/>
      <c r="E147" s="847"/>
      <c r="F147" s="847"/>
      <c r="G147" s="847"/>
      <c r="H147" s="847"/>
      <c r="I147" s="847"/>
      <c r="J147" s="847"/>
      <c r="K147" s="847"/>
      <c r="L147" s="847"/>
      <c r="M147" s="847"/>
      <c r="N147" s="847"/>
      <c r="O147" s="847"/>
      <c r="P147" s="847"/>
      <c r="Q147" s="847"/>
      <c r="R147" s="847"/>
      <c r="S147" s="847"/>
      <c r="T147" s="847"/>
      <c r="U147" s="847"/>
      <c r="V147" s="847"/>
      <c r="W147" s="847"/>
      <c r="X147" s="847"/>
      <c r="Y147" s="847"/>
      <c r="Z147" s="847"/>
      <c r="AA147" s="847"/>
      <c r="AB147" s="847"/>
      <c r="AC147" s="847"/>
      <c r="AD147" s="847"/>
    </row>
    <row customHeight="1" ht="90">
      <c r="A148" s="847" t="s">
        <v>1659</v>
      </c>
      <c r="B148" s="847"/>
      <c r="C148" s="845" t="s">
        <v>2222</v>
      </c>
      <c r="D148" s="845" t="s">
        <v>1561</v>
      </c>
      <c r="E148" s="845" t="s">
        <v>1661</v>
      </c>
      <c r="F148" s="845" t="s">
        <v>2223</v>
      </c>
      <c r="G148" s="845"/>
      <c r="H148" s="845"/>
      <c r="I148" s="965"/>
      <c r="J148" s="965"/>
      <c r="K148" s="965"/>
      <c r="L148" s="965"/>
      <c r="M148" s="895"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0"/>
      <c r="O148" s="845"/>
      <c r="P148" s="846"/>
      <c r="Q148" s="846"/>
      <c r="R148" s="846"/>
      <c r="S148" s="845"/>
      <c r="T148" s="845" t="s">
        <v>2224</v>
      </c>
      <c r="U148" s="84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6"/>
      <c r="W148" s="846"/>
      <c r="X148" s="845" t="s">
        <v>2225</v>
      </c>
      <c r="Y148" s="1002"/>
      <c r="Z148" s="848"/>
      <c r="AA148" s="851"/>
      <c r="AB148" s="848"/>
      <c r="AC148" s="848"/>
      <c r="AD148" s="848"/>
    </row>
    <row customHeight="1" ht="9">
      <c r="A149" s="847"/>
      <c r="B149" s="847"/>
      <c r="C149" s="847"/>
      <c r="D149" s="847"/>
      <c r="E149" s="847"/>
      <c r="F149" s="847"/>
      <c r="G149" s="847"/>
      <c r="H149" s="847"/>
      <c r="I149" s="847"/>
      <c r="J149" s="847"/>
      <c r="K149" s="847"/>
      <c r="L149" s="847"/>
      <c r="M149" s="847"/>
      <c r="N149" s="847"/>
      <c r="O149" s="847"/>
      <c r="P149" s="847"/>
      <c r="Q149" s="847"/>
      <c r="R149" s="847"/>
      <c r="S149" s="847"/>
      <c r="T149" s="847"/>
      <c r="U149" s="847"/>
      <c r="V149" s="847"/>
      <c r="W149" s="847"/>
      <c r="X149" s="847"/>
      <c r="Y149" s="847"/>
      <c r="Z149" s="847"/>
      <c r="AA149" s="847"/>
      <c r="AB149" s="847"/>
      <c r="AC149" s="847"/>
      <c r="AD149" s="847"/>
    </row>
    <row customHeight="1" ht="9">
      <c r="A150" s="847" t="s">
        <v>1663</v>
      </c>
      <c r="B150" s="847"/>
      <c r="C150" s="845"/>
      <c r="D150" s="845"/>
      <c r="E150" s="845"/>
      <c r="F150" s="845"/>
      <c r="G150" s="845"/>
      <c r="H150" s="845"/>
      <c r="I150" s="845"/>
      <c r="J150" s="845"/>
      <c r="K150" s="845"/>
      <c r="L150" s="845"/>
      <c r="M150" s="845"/>
      <c r="N150" s="845"/>
      <c r="O150" s="845"/>
      <c r="P150" s="845"/>
      <c r="Q150" s="845"/>
      <c r="R150" s="845"/>
      <c r="S150" s="845"/>
      <c r="T150" s="845"/>
      <c r="U150" s="845"/>
      <c r="V150" s="845"/>
      <c r="W150" s="845"/>
      <c r="X150" s="845"/>
      <c r="Y150" s="1002"/>
      <c r="Z150" s="848"/>
      <c r="AA150" s="851"/>
      <c r="AB150" s="848"/>
      <c r="AC150" s="848"/>
      <c r="AD150" s="848"/>
    </row>
    <row customHeight="1" ht="9">
      <c r="A151" s="847"/>
      <c r="B151" s="847"/>
      <c r="C151" s="847"/>
      <c r="D151" s="847"/>
      <c r="E151" s="847"/>
      <c r="F151" s="847"/>
      <c r="G151" s="847"/>
      <c r="H151" s="847"/>
      <c r="I151" s="847"/>
      <c r="J151" s="847"/>
      <c r="K151" s="847"/>
      <c r="L151" s="847"/>
      <c r="M151" s="847"/>
      <c r="N151" s="847"/>
      <c r="O151" s="847"/>
      <c r="P151" s="847"/>
      <c r="Q151" s="847"/>
      <c r="R151" s="847"/>
      <c r="S151" s="847"/>
      <c r="T151" s="847"/>
      <c r="U151" s="847"/>
      <c r="V151" s="847"/>
      <c r="W151" s="847"/>
      <c r="X151" s="847"/>
      <c r="Y151" s="847"/>
      <c r="Z151" s="847"/>
      <c r="AA151" s="847"/>
      <c r="AB151" s="847"/>
      <c r="AC151" s="847"/>
      <c r="AD151" s="847"/>
    </row>
    <row customHeight="1" ht="9">
      <c r="A152" s="847" t="s">
        <v>1666</v>
      </c>
      <c r="B152" s="847"/>
      <c r="C152" s="845"/>
      <c r="D152" s="845"/>
      <c r="E152" s="845"/>
      <c r="F152" s="845"/>
      <c r="G152" s="845"/>
      <c r="H152" s="845"/>
      <c r="I152" s="845"/>
      <c r="J152" s="845"/>
      <c r="K152" s="845"/>
      <c r="L152" s="845"/>
      <c r="M152" s="845"/>
      <c r="N152" s="845"/>
      <c r="O152" s="845"/>
      <c r="P152" s="845"/>
      <c r="Q152" s="845"/>
      <c r="R152" s="845"/>
      <c r="S152" s="845"/>
      <c r="T152" s="845"/>
      <c r="U152" s="845"/>
      <c r="V152" s="845"/>
      <c r="W152" s="845"/>
      <c r="X152" s="845"/>
      <c r="Y152" s="1002"/>
      <c r="Z152" s="848"/>
      <c r="AA152" s="851"/>
      <c r="AB152" s="848"/>
      <c r="AC152" s="848"/>
      <c r="AD152" s="848"/>
    </row>
    <row customHeight="1" ht="9">
      <c r="A153" s="847"/>
      <c r="B153" s="847"/>
      <c r="C153" s="847"/>
      <c r="D153" s="847"/>
      <c r="E153" s="847"/>
      <c r="F153" s="847"/>
      <c r="G153" s="847"/>
      <c r="H153" s="847"/>
      <c r="I153" s="847"/>
      <c r="J153" s="847"/>
      <c r="K153" s="847"/>
      <c r="L153" s="847"/>
      <c r="M153" s="847"/>
      <c r="N153" s="847"/>
      <c r="O153" s="847"/>
      <c r="P153" s="847"/>
      <c r="Q153" s="847"/>
      <c r="R153" s="847"/>
      <c r="S153" s="847"/>
      <c r="T153" s="847"/>
      <c r="U153" s="847"/>
      <c r="V153" s="847"/>
      <c r="W153" s="847"/>
      <c r="X153" s="847"/>
      <c r="Y153" s="847"/>
      <c r="Z153" s="847"/>
      <c r="AA153" s="847"/>
      <c r="AB153" s="847"/>
      <c r="AC153" s="847"/>
      <c r="AD153" s="847"/>
    </row>
    <row customHeight="1" ht="9">
      <c r="A154" s="847" t="s">
        <v>1671</v>
      </c>
      <c r="B154" s="847"/>
      <c r="C154" s="845"/>
      <c r="D154" s="845"/>
      <c r="E154" s="845"/>
      <c r="F154" s="845"/>
      <c r="G154" s="845"/>
      <c r="H154" s="845"/>
      <c r="I154" s="845"/>
      <c r="J154" s="845"/>
      <c r="K154" s="845"/>
      <c r="L154" s="845"/>
      <c r="M154" s="845"/>
      <c r="N154" s="845"/>
      <c r="O154" s="845"/>
      <c r="P154" s="845"/>
      <c r="Q154" s="845"/>
      <c r="R154" s="845"/>
      <c r="S154" s="845"/>
      <c r="T154" s="845"/>
      <c r="U154" s="845"/>
      <c r="V154" s="845"/>
      <c r="W154" s="845"/>
      <c r="X154" s="845"/>
      <c r="Y154" s="1002"/>
      <c r="Z154" s="848"/>
      <c r="AA154" s="851"/>
      <c r="AB154" s="848"/>
      <c r="AC154" s="848"/>
      <c r="AD154" s="848"/>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80D412-3727-8E62-CDD5-23B0B5E77AFA}"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2.28125" hidden="1" customWidth="1"/>
    <col min="6" max="8" style="1778" width="12.28125" hidden="1" customWidth="1"/>
    <col min="9" max="9" style="2399" width="3.00390625" customWidth="1"/>
    <col min="10" max="11" style="346" width="3.00390625" customWidth="1"/>
    <col min="12" max="12" style="2409" width="12.00390625" customWidth="1"/>
    <col min="13" max="13" style="1637" width="31.00390625" customWidth="1"/>
    <col min="14" max="14" style="1637" width="1.00390625" customWidth="1"/>
    <col min="15" max="18" style="1637" width="24.00390625" customWidth="1"/>
    <col min="19" max="19" style="1637" width="11.00390625" customWidth="1"/>
    <col min="20" max="20" style="1637" width="3.7109375" customWidth="1"/>
    <col min="21" max="21" style="1637" width="11.00390625" customWidth="1"/>
    <col min="22" max="22" style="1637" width="8.57421875" customWidth="1"/>
    <col min="23" max="23" style="1637" width="4.00390625" customWidth="1"/>
    <col min="24" max="24" style="1637" width="115.00390625" customWidth="1"/>
    <col min="25" max="29" style="1644" width="10.00390625" customWidth="1"/>
    <col min="30" max="30" style="1637" width="10.57421875" hidden="1"/>
  </cols>
  <sheetData>
    <row customHeight="1" ht="22.5" hidden="1">
      <c r="R1" s="329"/>
      <c r="S1" s="329"/>
      <c r="AD1" s="1157" t="s">
        <v>14</v>
      </c>
    </row>
    <row customHeight="1" ht="14.25" hidden="1">
      <c r="V2" s="329"/>
      <c r="AD2" s="1157">
        <v>0</v>
      </c>
    </row>
    <row customHeight="1" ht="14.25" hidden="1">
      <c r="AD3" s="1157">
        <v>0</v>
      </c>
    </row>
    <row customHeight="1" ht="14.699999999999998">
      <c r="J4" s="378"/>
      <c r="K4" s="378"/>
      <c r="L4" s="1277"/>
      <c r="M4" s="365"/>
      <c r="N4" s="365"/>
      <c r="O4" s="511"/>
      <c r="P4" s="511"/>
      <c r="Q4" s="511"/>
      <c r="R4" s="511"/>
      <c r="S4" s="511"/>
      <c r="T4" s="511"/>
      <c r="U4" s="511"/>
      <c r="V4" s="511"/>
      <c r="AD4" s="1157">
        <v>14</v>
      </c>
    </row>
    <row customHeight="1" ht="67.2">
      <c r="J5" s="378"/>
      <c r="K5" s="378"/>
      <c r="L5" s="2605" t="s">
        <v>2226</v>
      </c>
      <c r="M5" s="2605"/>
      <c r="N5" s="2605"/>
      <c r="O5" s="2605"/>
      <c r="P5" s="2605"/>
      <c r="Q5" s="2605"/>
      <c r="R5" s="2605"/>
      <c r="S5" s="2605"/>
      <c r="T5" s="2605"/>
      <c r="U5" s="2605"/>
      <c r="V5" s="1245"/>
      <c r="AD5" s="1157">
        <v>64</v>
      </c>
    </row>
    <row customHeight="1" ht="14.699999999999998">
      <c r="J6" s="378"/>
      <c r="K6" s="378"/>
      <c r="L6" s="2606" t="str">
        <f>IF(org=0,"Не определено",org)</f>
        <v>ПАО "ТГК-2"</v>
      </c>
      <c r="M6" s="2606"/>
      <c r="N6" s="2606"/>
      <c r="O6" s="2606"/>
      <c r="P6" s="2606"/>
      <c r="Q6" s="2606"/>
      <c r="R6" s="2606"/>
      <c r="S6" s="2606"/>
      <c r="T6" s="2606"/>
      <c r="U6" s="2606"/>
      <c r="V6" s="1245"/>
      <c r="AD6" s="1157">
        <v>14</v>
      </c>
    </row>
    <row customHeight="1" ht="14.699999999999998">
      <c r="J7" s="378"/>
      <c r="K7" s="378"/>
      <c r="L7" s="1277"/>
      <c r="M7" s="365"/>
      <c r="N7" s="365"/>
      <c r="O7" s="324"/>
      <c r="P7" s="324"/>
      <c r="Q7" s="324"/>
      <c r="R7" s="324"/>
      <c r="S7" s="324"/>
      <c r="T7" s="324"/>
      <c r="U7" s="324"/>
      <c r="V7" s="324"/>
      <c r="W7" s="511"/>
      <c r="AD7" s="1157">
        <v>14</v>
      </c>
    </row>
    <row s="1855" customFormat="1" customHeight="1" ht="48.29999999999999">
      <c r="A8" s="1370"/>
      <c r="B8" s="1370"/>
      <c r="C8" s="1370"/>
      <c r="D8" s="1370"/>
      <c r="E8" s="1370"/>
      <c r="F8" s="1370"/>
      <c r="G8" s="1370"/>
      <c r="H8" s="1370"/>
      <c r="L8" s="1278"/>
      <c r="M8" s="297" t="s">
        <v>42</v>
      </c>
      <c r="N8" s="306"/>
      <c r="O8" s="2253" t="str">
        <f>IF(TITLE_NAME_OR_PR_CHANGE="",IF(TITLE_NAME_OR_PR="","",TITLE_NAME_OR_PR),TITLE_NAME_OR_PR_CHANGE)</f>
        <v/>
      </c>
      <c r="P8" s="2253"/>
      <c r="Q8" s="2253"/>
      <c r="R8" s="2253"/>
      <c r="S8" s="2253"/>
      <c r="T8" s="2253"/>
      <c r="U8" s="2253"/>
      <c r="V8" s="328"/>
      <c r="W8" s="328"/>
      <c r="X8" s="282"/>
      <c r="Y8" s="370"/>
      <c r="Z8" s="370"/>
      <c r="AA8" s="370"/>
      <c r="AB8" s="370"/>
      <c r="AC8" s="370"/>
      <c r="AD8" s="420">
        <v>46</v>
      </c>
    </row>
    <row s="1855" customFormat="1" customHeight="1" ht="24">
      <c r="A9" s="1370"/>
      <c r="B9" s="1370"/>
      <c r="C9" s="1370"/>
      <c r="D9" s="1370"/>
      <c r="E9" s="1370"/>
      <c r="F9" s="1370"/>
      <c r="G9" s="1370"/>
      <c r="H9" s="1370"/>
      <c r="L9" s="1278"/>
      <c r="M9" s="297" t="s">
        <v>423</v>
      </c>
      <c r="N9" s="306"/>
      <c r="O9" s="2253" t="str">
        <f>IF(TITLE_DATE_CHANGE_PERIOD="",IF(TITLE_DATE_PR="","",TITLE_DATE_PR),TITLE_DATE_CHANGE_PERIOD)</f>
        <v/>
      </c>
      <c r="P9" s="2253"/>
      <c r="Q9" s="2253"/>
      <c r="R9" s="2253"/>
      <c r="S9" s="2253"/>
      <c r="T9" s="2253"/>
      <c r="U9" s="2253"/>
      <c r="V9" s="328"/>
      <c r="W9" s="328"/>
      <c r="X9" s="282"/>
      <c r="Y9" s="370"/>
      <c r="Z9" s="370"/>
      <c r="AA9" s="370"/>
      <c r="AB9" s="370"/>
      <c r="AC9" s="370"/>
      <c r="AD9" s="420">
        <v>23</v>
      </c>
    </row>
    <row s="1855" customFormat="1" customHeight="1" ht="24">
      <c r="A10" s="1370"/>
      <c r="B10" s="1370"/>
      <c r="C10" s="1370"/>
      <c r="D10" s="1370"/>
      <c r="E10" s="1370"/>
      <c r="F10" s="1370"/>
      <c r="G10" s="1370"/>
      <c r="H10" s="1370"/>
      <c r="L10" s="1252"/>
      <c r="M10" s="297" t="s">
        <v>424</v>
      </c>
      <c r="N10" s="306"/>
      <c r="O10" s="2253" t="str">
        <f>IF(TITLE_NUMBER_PR_CHANGE="",IF(TITLE_NUMBER_PR="","",TITLE_NUMBER_PR),TITLE_NUMBER_PR_CHANGE)</f>
        <v/>
      </c>
      <c r="P10" s="2253"/>
      <c r="Q10" s="2253"/>
      <c r="R10" s="2253"/>
      <c r="S10" s="2253"/>
      <c r="T10" s="2253"/>
      <c r="U10" s="2253"/>
      <c r="V10" s="328"/>
      <c r="W10" s="328"/>
      <c r="X10" s="282"/>
      <c r="Y10" s="370"/>
      <c r="Z10" s="370"/>
      <c r="AA10" s="370"/>
      <c r="AB10" s="370"/>
      <c r="AC10" s="370"/>
      <c r="AD10" s="420">
        <v>23</v>
      </c>
    </row>
    <row s="1855" customFormat="1" customHeight="1" ht="24">
      <c r="A11" s="1370"/>
      <c r="B11" s="1370"/>
      <c r="C11" s="1370"/>
      <c r="D11" s="1370"/>
      <c r="E11" s="1370"/>
      <c r="F11" s="1370"/>
      <c r="G11" s="1370"/>
      <c r="H11" s="1370"/>
      <c r="L11" s="1252"/>
      <c r="M11" s="297" t="s">
        <v>43</v>
      </c>
      <c r="N11" s="306"/>
      <c r="O11" s="2253" t="str">
        <f>IF(TITLE_IST_PUB_CHANGE="",IF(TITLE_IST_PUB="","",TITLE_IST_PUB),TITLE_IST_PUB_CHANGE)</f>
        <v/>
      </c>
      <c r="P11" s="2253"/>
      <c r="Q11" s="2253"/>
      <c r="R11" s="2253"/>
      <c r="S11" s="2253"/>
      <c r="T11" s="2253"/>
      <c r="U11" s="2253"/>
      <c r="V11" s="328"/>
      <c r="W11" s="328"/>
      <c r="X11" s="282"/>
      <c r="Y11" s="370"/>
      <c r="Z11" s="370"/>
      <c r="AA11" s="370"/>
      <c r="AB11" s="370"/>
      <c r="AC11" s="370"/>
      <c r="AD11" s="420">
        <v>23</v>
      </c>
    </row>
    <row s="1855" customFormat="1" customHeight="1" ht="11.25" hidden="1">
      <c r="A12" s="1370"/>
      <c r="B12" s="1370"/>
      <c r="C12" s="1370"/>
      <c r="D12" s="1370"/>
      <c r="E12" s="1370"/>
      <c r="F12" s="1370"/>
      <c r="G12" s="1370"/>
      <c r="H12" s="1370"/>
      <c r="L12" s="2607"/>
      <c r="M12" s="2607"/>
      <c r="N12" s="1289"/>
      <c r="O12" s="328"/>
      <c r="P12" s="328"/>
      <c r="Q12" s="328"/>
      <c r="R12" s="328"/>
      <c r="S12" s="328"/>
      <c r="T12" s="328"/>
      <c r="U12" s="328"/>
      <c r="V12" s="280" t="s">
        <v>427</v>
      </c>
      <c r="Y12" s="370"/>
      <c r="Z12" s="370"/>
      <c r="AA12" s="370"/>
      <c r="AB12" s="370"/>
      <c r="AC12" s="370"/>
      <c r="AD12" s="420">
        <v>0</v>
      </c>
    </row>
    <row customHeight="1" ht="14.699999999999998">
      <c r="J13" s="378"/>
      <c r="K13" s="378"/>
      <c r="L13" s="1277"/>
      <c r="M13" s="365"/>
      <c r="N13" s="1246"/>
      <c r="O13" s="2254"/>
      <c r="P13" s="2254"/>
      <c r="Q13" s="2254"/>
      <c r="R13" s="2254"/>
      <c r="S13" s="2254"/>
      <c r="T13" s="2254"/>
      <c r="U13" s="2254"/>
      <c r="V13" s="2254"/>
      <c r="AD13" s="1157">
        <v>14</v>
      </c>
    </row>
    <row customHeight="1" ht="14.699999999999998">
      <c r="J14" s="378"/>
      <c r="K14" s="378"/>
      <c r="L14" s="2129" t="s">
        <v>300</v>
      </c>
      <c r="M14" s="2129"/>
      <c r="N14" s="2129"/>
      <c r="O14" s="2129"/>
      <c r="P14" s="2129"/>
      <c r="Q14" s="2129"/>
      <c r="R14" s="2129"/>
      <c r="S14" s="2129"/>
      <c r="T14" s="2129"/>
      <c r="U14" s="2129"/>
      <c r="V14" s="2129"/>
      <c r="W14" s="2129"/>
      <c r="X14" s="2129" t="s">
        <v>301</v>
      </c>
      <c r="AD14" s="1157">
        <v>14</v>
      </c>
    </row>
    <row customHeight="1" ht="14.699999999999998">
      <c r="J15" s="378"/>
      <c r="K15" s="378"/>
      <c r="L15" s="2275" t="s">
        <v>88</v>
      </c>
      <c r="M15" s="2211" t="s">
        <v>428</v>
      </c>
      <c r="N15" s="303"/>
      <c r="O15" s="2276" t="s">
        <v>2227</v>
      </c>
      <c r="P15" s="2277"/>
      <c r="Q15" s="2277"/>
      <c r="R15" s="2277"/>
      <c r="S15" s="2277"/>
      <c r="T15" s="2277"/>
      <c r="U15" s="2278"/>
      <c r="V15" s="2279" t="s">
        <v>430</v>
      </c>
      <c r="W15" s="2282" t="s">
        <v>1147</v>
      </c>
      <c r="X15" s="2129"/>
      <c r="AD15" s="1157">
        <v>14</v>
      </c>
    </row>
    <row customHeight="1" ht="35.699999999999996">
      <c r="J16" s="378"/>
      <c r="K16" s="378"/>
      <c r="L16" s="2275"/>
      <c r="M16" s="2211"/>
      <c r="N16" s="1033"/>
      <c r="O16" s="2262" t="s">
        <v>433</v>
      </c>
      <c r="P16" s="2262" t="s">
        <v>434</v>
      </c>
      <c r="Q16" s="2264" t="s">
        <v>435</v>
      </c>
      <c r="R16" s="2265"/>
      <c r="S16" s="2264" t="s">
        <v>449</v>
      </c>
      <c r="T16" s="2271"/>
      <c r="U16" s="2265"/>
      <c r="V16" s="2280"/>
      <c r="W16" s="2283"/>
      <c r="X16" s="2129"/>
      <c r="AD16" s="1157">
        <v>34</v>
      </c>
    </row>
    <row customHeight="1" ht="35.699999999999996">
      <c r="A17" s="1372" t="s">
        <v>136</v>
      </c>
      <c r="B17" s="1372" t="s">
        <v>137</v>
      </c>
      <c r="C17" s="1372" t="s">
        <v>138</v>
      </c>
      <c r="D17" s="1372" t="s">
        <v>139</v>
      </c>
      <c r="E17" s="1372"/>
      <c r="J17" s="378"/>
      <c r="K17" s="378"/>
      <c r="L17" s="2275"/>
      <c r="M17" s="2211"/>
      <c r="N17" s="304"/>
      <c r="O17" s="2263"/>
      <c r="P17" s="2263"/>
      <c r="Q17" s="1224" t="s">
        <v>444</v>
      </c>
      <c r="R17" s="1224" t="s">
        <v>445</v>
      </c>
      <c r="S17" s="1294" t="s">
        <v>446</v>
      </c>
      <c r="T17" s="2272" t="s">
        <v>447</v>
      </c>
      <c r="U17" s="2273"/>
      <c r="V17" s="2281"/>
      <c r="W17" s="2284"/>
      <c r="X17" s="2129"/>
      <c r="AD17" s="1157">
        <v>34</v>
      </c>
    </row>
    <row s="1643" customFormat="1" customHeight="1" ht="11.549999999999999">
      <c r="A18" s="1372"/>
      <c r="B18" s="1372"/>
      <c r="C18" s="1372"/>
      <c r="D18" s="1372"/>
      <c r="E18" s="1372"/>
      <c r="F18" s="1364"/>
      <c r="G18" s="1364"/>
      <c r="H18" s="1364"/>
      <c r="I18" s="1248"/>
      <c r="J18" s="1249"/>
      <c r="K18" s="1256">
        <v>1</v>
      </c>
      <c r="L18" s="1279" t="s">
        <v>109</v>
      </c>
      <c r="M18" s="1257" t="s">
        <v>110</v>
      </c>
      <c r="N18" s="1247" t="str">
        <f>OFFSET(N18,0,-1)</f>
        <v>2</v>
      </c>
      <c r="O18" s="1291">
        <f>OFFSET(O18,0,-1)+1</f>
        <v>3</v>
      </c>
      <c r="P18" s="1291"/>
      <c r="Q18" s="1291">
        <f>OFFSET(Q18,0,-1)+1</f>
        <v>1</v>
      </c>
      <c r="R18" s="1291">
        <f>OFFSET(R18,0,-1)+1</f>
        <v>2</v>
      </c>
      <c r="S18" s="1291">
        <f>OFFSET(S18,0,-1)+1</f>
        <v>3</v>
      </c>
      <c r="T18" s="2274">
        <f>OFFSET(T18,0,-1)+1</f>
        <v>4</v>
      </c>
      <c r="U18" s="2274"/>
      <c r="V18" s="1291">
        <f>OFFSET(V18,0,-2)+1</f>
        <v>5</v>
      </c>
      <c r="W18" s="1247">
        <f>OFFSET(W18,0,-1)</f>
        <v>5</v>
      </c>
      <c r="X18" s="1291">
        <f>OFFSET(X18,0,-1)+1</f>
        <v>6</v>
      </c>
      <c r="Y18" s="513"/>
      <c r="Z18" s="513"/>
      <c r="AA18" s="513"/>
      <c r="AB18" s="513"/>
      <c r="AC18" s="513"/>
      <c r="AD18" s="498">
        <v>11</v>
      </c>
    </row>
    <row customHeight="1" ht="21">
      <c r="A19" s="1365" t="s">
        <v>170</v>
      </c>
      <c r="B19" s="1365" t="s">
        <v>171</v>
      </c>
      <c r="C19" s="1365" t="s">
        <v>172</v>
      </c>
      <c r="D19" s="1365" t="s">
        <v>173</v>
      </c>
      <c r="E19" s="1365"/>
      <c r="F19" s="1367"/>
      <c r="G19" s="1367"/>
      <c r="H19" s="1367"/>
      <c r="I19" s="363"/>
      <c r="J19" s="362"/>
      <c r="K19" s="357"/>
      <c r="L19" s="1295">
        <f>INDEX(PT_DIFFERENTIATION_NUM_NTAR,MATCH(A19,PT_DIFFERENTIATION_NTAR_ID,0))</f>
        <v>0</v>
      </c>
      <c r="M19" s="300" t="s">
        <v>125</v>
      </c>
      <c r="N19" s="302"/>
      <c r="O19" s="2608" t="str">
        <f>INDEX(PT_DIFFERENTIATION_NTAR,MATCH(A19,PT_DIFFERENTIATION_NTAR_ID,0))</f>
        <v/>
      </c>
      <c r="P19" s="2608"/>
      <c r="Q19" s="2608"/>
      <c r="R19" s="2608"/>
      <c r="S19" s="2608"/>
      <c r="T19" s="2608"/>
      <c r="U19" s="2608"/>
      <c r="V19" s="2608"/>
      <c r="W19" s="2608"/>
      <c r="X19" s="1260" t="s">
        <v>396</v>
      </c>
      <c r="Z19" s="502"/>
      <c r="AA19" s="502" t="str">
        <f>IF(M19="","",M19)</f>
        <v>Наименование тарифа</v>
      </c>
      <c r="AB19" s="502"/>
      <c r="AC19" s="502"/>
      <c r="AD19" s="1157">
        <v>20</v>
      </c>
    </row>
    <row customHeight="1" ht="21">
      <c r="A20" s="1365" t="s">
        <v>170</v>
      </c>
      <c r="B20" s="1365" t="s">
        <v>171</v>
      </c>
      <c r="C20" s="1365" t="s">
        <v>172</v>
      </c>
      <c r="D20" s="1365" t="s">
        <v>173</v>
      </c>
      <c r="E20" s="1365"/>
      <c r="F20" s="1367"/>
      <c r="G20" s="1367"/>
      <c r="H20" s="1367"/>
      <c r="I20" s="1292"/>
      <c r="J20" s="354"/>
      <c r="K20" s="355"/>
      <c r="L20" s="1295" t="str">
        <f>INDEX(PT_DIFFERENTIATION_NUM_TER,MATCH(B19,PT_DIFFERENTIATION_TER_ID,0))</f>
        <v>.</v>
      </c>
      <c r="M20" s="310" t="s">
        <v>397</v>
      </c>
      <c r="N20" s="302"/>
      <c r="O20" s="2608" t="str">
        <f>INDEX(PT_DIFFERENTIATION_TER,MATCH(B19,PT_DIFFERENTIATION_TER_ID,0))</f>
        <v/>
      </c>
      <c r="P20" s="2608"/>
      <c r="Q20" s="2608"/>
      <c r="R20" s="2608"/>
      <c r="S20" s="2608"/>
      <c r="T20" s="2608"/>
      <c r="U20" s="2608"/>
      <c r="V20" s="2608"/>
      <c r="W20" s="2608"/>
      <c r="X20" s="1260" t="s">
        <v>398</v>
      </c>
      <c r="Z20" s="502"/>
      <c r="AA20" s="502" t="str">
        <f>IF(M20="","",M20)</f>
        <v>Территория действия тарифа</v>
      </c>
      <c r="AB20" s="502"/>
      <c r="AC20" s="502"/>
      <c r="AD20" s="1157">
        <v>20</v>
      </c>
    </row>
    <row customHeight="1" ht="24">
      <c r="A21" s="1365" t="s">
        <v>170</v>
      </c>
      <c r="B21" s="1365" t="s">
        <v>171</v>
      </c>
      <c r="C21" s="1365" t="s">
        <v>172</v>
      </c>
      <c r="D21" s="1365" t="s">
        <v>173</v>
      </c>
      <c r="E21" s="1365"/>
      <c r="F21" s="1367"/>
      <c r="G21" s="1367"/>
      <c r="H21" s="1367"/>
      <c r="I21" s="356"/>
      <c r="J21" s="354"/>
      <c r="K21" s="355"/>
      <c r="L21" s="1295" t="str">
        <f>INDEX(PT_DIFFERENTIATION_NUM_CS,MATCH(C19,PT_DIFFERENTIATION_CS_ID,0))</f>
        <v>..</v>
      </c>
      <c r="M21" s="311" t="s">
        <v>399</v>
      </c>
      <c r="N21" s="302"/>
      <c r="O21" s="2608" t="str">
        <f>INDEX(PT_DIFFERENTIATION_CS,MATCH(C19,PT_DIFFERENTIATION_CS_ID,0))</f>
        <v/>
      </c>
      <c r="P21" s="2608"/>
      <c r="Q21" s="2608"/>
      <c r="R21" s="2608"/>
      <c r="S21" s="2608"/>
      <c r="T21" s="2608"/>
      <c r="U21" s="2608"/>
      <c r="V21" s="2608"/>
      <c r="W21" s="2608"/>
      <c r="X21" s="1260" t="s">
        <v>400</v>
      </c>
      <c r="Z21" s="502"/>
      <c r="AA21" s="502" t="str">
        <f>IF(M21="","",M21)</f>
        <v>Наименование системы теплоснабжения </v>
      </c>
      <c r="AB21" s="502"/>
      <c r="AC21" s="502"/>
      <c r="AD21" s="1157">
        <v>23</v>
      </c>
    </row>
    <row customHeight="1" ht="21">
      <c r="A22" s="1365" t="s">
        <v>170</v>
      </c>
      <c r="B22" s="1365" t="s">
        <v>171</v>
      </c>
      <c r="C22" s="1365" t="s">
        <v>172</v>
      </c>
      <c r="D22" s="1365" t="s">
        <v>173</v>
      </c>
      <c r="E22" s="1365"/>
      <c r="F22" s="1367"/>
      <c r="G22" s="1367"/>
      <c r="H22" s="1367"/>
      <c r="I22" s="356"/>
      <c r="J22" s="354"/>
      <c r="K22" s="355"/>
      <c r="L22" s="1295" t="str">
        <f>INDEX(PT_DIFFERENTIATION_NUM_IST_TE,MATCH(D19,PT_DIFFERENTIATION_IST_TE_ID,0))</f>
        <v>...</v>
      </c>
      <c r="M22" s="312" t="s">
        <v>401</v>
      </c>
      <c r="N22" s="302"/>
      <c r="O22" s="2608" t="str">
        <f>INDEX(PT_DIFFERENTIATION_IST_TE,MATCH(D19,PT_DIFFERENTIATION_IST_TE_ID,0))</f>
        <v/>
      </c>
      <c r="P22" s="2608"/>
      <c r="Q22" s="2608"/>
      <c r="R22" s="2608"/>
      <c r="S22" s="2608"/>
      <c r="T22" s="2608"/>
      <c r="U22" s="2608"/>
      <c r="V22" s="2608"/>
      <c r="W22" s="2608"/>
      <c r="X22" s="1260" t="s">
        <v>402</v>
      </c>
      <c r="Z22" s="502"/>
      <c r="AA22" s="502" t="str">
        <f>IF(M22="","",M22)</f>
        <v>Источник тепловой энергии  </v>
      </c>
      <c r="AB22" s="502"/>
      <c r="AC22" s="502"/>
      <c r="AD22" s="1157">
        <v>20</v>
      </c>
    </row>
    <row customHeight="1" ht="96.75">
      <c r="A23" s="1365" t="s">
        <v>170</v>
      </c>
      <c r="B23" s="1365" t="s">
        <v>171</v>
      </c>
      <c r="C23" s="1365" t="s">
        <v>172</v>
      </c>
      <c r="D23" s="1365" t="s">
        <v>173</v>
      </c>
      <c r="E23" s="1365"/>
      <c r="F23" s="2609" t="str">
        <f>L22&amp;".1"</f>
        <v>....1</v>
      </c>
      <c r="I23" s="2259">
        <v>1</v>
      </c>
      <c r="J23" s="1293"/>
      <c r="K23" s="358"/>
      <c r="L23" s="1295" t="str">
        <f>$F$23</f>
        <v>....1</v>
      </c>
      <c r="M23" s="287" t="s">
        <v>404</v>
      </c>
      <c r="N23" s="302"/>
      <c r="O23" s="2307"/>
      <c r="P23" s="2307"/>
      <c r="Q23" s="2307"/>
      <c r="R23" s="2307"/>
      <c r="S23" s="2307"/>
      <c r="T23" s="2307"/>
      <c r="U23" s="2307"/>
      <c r="V23" s="2307"/>
      <c r="W23" s="2307"/>
      <c r="X23" s="1260" t="s">
        <v>405</v>
      </c>
      <c r="Z23" s="502"/>
      <c r="AA23" s="502" t="str">
        <f>IF(M23="","",M23)</f>
        <v>Схема подключения теплопотребляющей установки к коллектору источника тепловой энергии</v>
      </c>
      <c r="AB23" s="502"/>
      <c r="AC23" s="502"/>
      <c r="AD23" s="1157">
        <v>92</v>
      </c>
    </row>
    <row customHeight="1" ht="86.25">
      <c r="A24" s="1365" t="s">
        <v>170</v>
      </c>
      <c r="B24" s="1365" t="s">
        <v>171</v>
      </c>
      <c r="C24" s="1365" t="s">
        <v>172</v>
      </c>
      <c r="D24" s="1365" t="s">
        <v>173</v>
      </c>
      <c r="E24" s="1365"/>
      <c r="F24" s="2609"/>
      <c r="G24" s="2219" t="str">
        <f>F23&amp;".1"</f>
        <v>....1.1</v>
      </c>
      <c r="I24" s="2259"/>
      <c r="J24" s="2259">
        <v>1</v>
      </c>
      <c r="K24" s="359"/>
      <c r="L24" s="1295" t="str">
        <f>$G$24</f>
        <v>....1.1</v>
      </c>
      <c r="M24" s="288" t="s">
        <v>407</v>
      </c>
      <c r="N24" s="302"/>
      <c r="O24" s="2247"/>
      <c r="P24" s="2248"/>
      <c r="Q24" s="2248"/>
      <c r="R24" s="2248"/>
      <c r="S24" s="2248"/>
      <c r="T24" s="2248"/>
      <c r="U24" s="2248"/>
      <c r="V24" s="2248"/>
      <c r="W24" s="2249"/>
      <c r="X24" s="1260" t="s">
        <v>408</v>
      </c>
      <c r="Z24" s="502"/>
      <c r="AA24" s="502" t="str">
        <f>IF(M24="","",M24)</f>
        <v>Группа потребителей</v>
      </c>
      <c r="AB24" s="502"/>
      <c r="AC24" s="502"/>
      <c r="AD24" s="1157">
        <v>82</v>
      </c>
    </row>
    <row customHeight="1" ht="11.549999999999999">
      <c r="A25" s="1365" t="s">
        <v>170</v>
      </c>
      <c r="B25" s="1365" t="s">
        <v>171</v>
      </c>
      <c r="C25" s="1365" t="s">
        <v>172</v>
      </c>
      <c r="D25" s="1365" t="s">
        <v>173</v>
      </c>
      <c r="E25" s="1365"/>
      <c r="F25" s="2609"/>
      <c r="G25" s="2219"/>
      <c r="H25" s="2219" t="str">
        <f>G24&amp;".1"</f>
        <v>....1.1.1</v>
      </c>
      <c r="I25" s="2259"/>
      <c r="J25" s="2259"/>
      <c r="K25" s="359">
        <v>1</v>
      </c>
      <c r="L25" s="1295" t="str">
        <f>$H$25</f>
        <v>....1.1.1</v>
      </c>
      <c r="M25" s="1349"/>
      <c r="N25" s="302"/>
      <c r="O25" s="753"/>
      <c r="P25" s="327"/>
      <c r="Q25" s="753"/>
      <c r="R25" s="1259"/>
      <c r="S25" s="2604"/>
      <c r="T25" s="2109" t="s">
        <v>66</v>
      </c>
      <c r="U25" s="2604"/>
      <c r="V25" s="2109" t="s">
        <v>19</v>
      </c>
      <c r="W25" s="327"/>
      <c r="X25" s="2255" t="s">
        <v>410</v>
      </c>
      <c r="Y25" s="513">
        <f>STRCHECKDATE(O26:W26)</f>
      </c>
      <c r="Z25" s="502"/>
      <c r="AA25" s="502" t="str">
        <f>IF(M25="","",M25)</f>
        <v/>
      </c>
      <c r="AB25" s="502"/>
      <c r="AC25" s="502"/>
      <c r="AD25" s="1157">
        <v>11</v>
      </c>
    </row>
    <row customHeight="1" ht="11.549999999999999">
      <c r="A26" s="1365" t="s">
        <v>170</v>
      </c>
      <c r="B26" s="1365" t="s">
        <v>171</v>
      </c>
      <c r="C26" s="1365" t="s">
        <v>172</v>
      </c>
      <c r="D26" s="1365" t="s">
        <v>173</v>
      </c>
      <c r="E26" s="1365"/>
      <c r="F26" s="2609"/>
      <c r="G26" s="2219"/>
      <c r="H26" s="2219"/>
      <c r="I26" s="2259"/>
      <c r="J26" s="2259"/>
      <c r="K26" s="359"/>
      <c r="L26" s="1296"/>
      <c r="M26" s="302"/>
      <c r="N26" s="302"/>
      <c r="O26" s="327"/>
      <c r="P26" s="327"/>
      <c r="Q26" s="327"/>
      <c r="R26" s="330" t="str">
        <f>S25&amp;"-"&amp;U25</f>
        <v>-</v>
      </c>
      <c r="S26" s="2268"/>
      <c r="T26" s="2109"/>
      <c r="U26" s="2268"/>
      <c r="V26" s="2109"/>
      <c r="W26" s="327"/>
      <c r="X26" s="2256"/>
      <c r="Z26" s="502"/>
      <c r="AA26" s="502" t="str">
        <f>IF(M26="","",M26)</f>
        <v/>
      </c>
      <c r="AB26" s="502"/>
      <c r="AC26" s="502"/>
      <c r="AD26" s="1157">
        <v>11</v>
      </c>
    </row>
    <row customHeight="1" ht="15.75">
      <c r="A27" s="1365" t="s">
        <v>170</v>
      </c>
      <c r="B27" s="1365" t="s">
        <v>171</v>
      </c>
      <c r="C27" s="1365" t="s">
        <v>172</v>
      </c>
      <c r="D27" s="1365" t="s">
        <v>173</v>
      </c>
      <c r="E27" s="1365"/>
      <c r="F27" s="2609"/>
      <c r="G27" s="2219"/>
      <c r="I27" s="2259"/>
      <c r="J27" s="2259"/>
      <c r="K27" s="358"/>
      <c r="L27" s="1280"/>
      <c r="M27" s="290" t="s">
        <v>411</v>
      </c>
      <c r="N27" s="369"/>
      <c r="O27" s="369"/>
      <c r="P27" s="369"/>
      <c r="Q27" s="369"/>
      <c r="R27" s="369"/>
      <c r="S27" s="369"/>
      <c r="T27" s="369"/>
      <c r="U27" s="369"/>
      <c r="V27" s="369"/>
      <c r="W27" s="326"/>
      <c r="X27" s="2257"/>
      <c r="Z27" s="502"/>
      <c r="AA27" s="502" t="str">
        <f>IF(M27="","",M27)</f>
        <v>Добавить вид теплоносителя (параметры теплоносителя)</v>
      </c>
      <c r="AB27" s="502"/>
      <c r="AC27" s="502"/>
      <c r="AD27" s="1157">
        <v>15</v>
      </c>
    </row>
    <row customHeight="1" ht="15.75">
      <c r="A28" s="1365" t="s">
        <v>170</v>
      </c>
      <c r="B28" s="1365" t="s">
        <v>171</v>
      </c>
      <c r="C28" s="1365" t="s">
        <v>172</v>
      </c>
      <c r="D28" s="1365" t="s">
        <v>173</v>
      </c>
      <c r="E28" s="1365"/>
      <c r="F28" s="2609"/>
      <c r="I28" s="2259"/>
      <c r="J28" s="1293"/>
      <c r="K28" s="358"/>
      <c r="L28" s="1280"/>
      <c r="M28" s="289" t="s">
        <v>412</v>
      </c>
      <c r="N28" s="369"/>
      <c r="O28" s="369"/>
      <c r="P28" s="369"/>
      <c r="Q28" s="369"/>
      <c r="R28" s="369"/>
      <c r="S28" s="369"/>
      <c r="T28" s="369"/>
      <c r="U28" s="369"/>
      <c r="V28" s="368"/>
      <c r="W28" s="369"/>
      <c r="X28" s="305"/>
      <c r="Z28" s="502"/>
      <c r="AA28" s="502" t="str">
        <f>IF(M28="","",M28)</f>
        <v>Добавить группу потребителей</v>
      </c>
      <c r="AB28" s="502"/>
      <c r="AC28" s="502"/>
      <c r="AD28" s="1157">
        <v>15</v>
      </c>
    </row>
    <row customHeight="1" ht="14.699999999999998">
      <c r="A29" s="1365" t="s">
        <v>170</v>
      </c>
      <c r="B29" s="1365" t="s">
        <v>171</v>
      </c>
      <c r="C29" s="1365" t="s">
        <v>172</v>
      </c>
      <c r="D29" s="1365" t="s">
        <v>173</v>
      </c>
      <c r="E29" s="1365"/>
      <c r="F29" s="1367"/>
      <c r="G29" s="1367"/>
      <c r="H29" s="539"/>
      <c r="I29" s="362"/>
      <c r="J29" s="377"/>
      <c r="K29" s="357"/>
      <c r="L29" s="1280"/>
      <c r="M29" s="367" t="s">
        <v>413</v>
      </c>
      <c r="N29" s="369"/>
      <c r="O29" s="369"/>
      <c r="P29" s="369"/>
      <c r="Q29" s="369"/>
      <c r="R29" s="369"/>
      <c r="S29" s="369"/>
      <c r="T29" s="369"/>
      <c r="U29" s="369"/>
      <c r="V29" s="368"/>
      <c r="W29" s="369"/>
      <c r="X29" s="305"/>
      <c r="Z29" s="502"/>
      <c r="AA29" s="502" t="str">
        <f>IF(M29="","",M29)</f>
        <v>Добавить схему подключения</v>
      </c>
      <c r="AB29" s="502"/>
      <c r="AC29" s="502"/>
      <c r="AD29" s="1157">
        <v>14</v>
      </c>
    </row>
    <row customHeight="1" ht="14.699999999999998">
      <c r="A30" s="1365" t="s">
        <v>170</v>
      </c>
      <c r="B30" s="1365" t="s">
        <v>171</v>
      </c>
      <c r="C30" s="1365" t="s">
        <v>172</v>
      </c>
      <c r="D30" s="1365"/>
      <c r="E30" s="1365" t="s">
        <v>586</v>
      </c>
      <c r="F30" s="1367"/>
      <c r="G30" s="1367"/>
      <c r="H30" s="539"/>
      <c r="I30" s="362"/>
      <c r="J30" s="377"/>
      <c r="K30" s="357"/>
      <c r="L30" s="1281"/>
      <c r="M30" s="1270"/>
      <c r="N30" s="1271"/>
      <c r="O30" s="1271"/>
      <c r="P30" s="1271"/>
      <c r="Q30" s="1271"/>
      <c r="R30" s="1271"/>
      <c r="S30" s="1271"/>
      <c r="T30" s="1271"/>
      <c r="U30" s="1271"/>
      <c r="V30" s="1272"/>
      <c r="W30" s="1271"/>
      <c r="X30" s="1273"/>
      <c r="Z30" s="502"/>
      <c r="AA30" s="502" t="str">
        <f>IF(M30="","",M30)</f>
        <v/>
      </c>
      <c r="AB30" s="502"/>
      <c r="AC30" s="502"/>
      <c r="AD30" s="1157">
        <v>14</v>
      </c>
    </row>
    <row customHeight="1" ht="14.699999999999998">
      <c r="A31" s="1365" t="s">
        <v>170</v>
      </c>
      <c r="B31" s="1365" t="s">
        <v>171</v>
      </c>
      <c r="C31" s="1365"/>
      <c r="D31" s="1365"/>
      <c r="E31" s="1365" t="s">
        <v>2228</v>
      </c>
      <c r="F31" s="1519"/>
      <c r="G31" s="1519"/>
      <c r="H31" s="539"/>
      <c r="I31" s="360"/>
      <c r="J31" s="377"/>
      <c r="K31" s="361"/>
      <c r="L31" s="1281"/>
      <c r="M31" s="1274"/>
      <c r="N31" s="1271"/>
      <c r="O31" s="1271"/>
      <c r="P31" s="1271"/>
      <c r="Q31" s="1271"/>
      <c r="R31" s="1271"/>
      <c r="S31" s="1271"/>
      <c r="T31" s="1271"/>
      <c r="U31" s="1271"/>
      <c r="V31" s="1272"/>
      <c r="W31" s="1271"/>
      <c r="X31" s="1273"/>
      <c r="Z31" s="502"/>
      <c r="AA31" s="502" t="str">
        <f>IF(M31="","",M31)</f>
        <v/>
      </c>
      <c r="AB31" s="502"/>
      <c r="AC31" s="502"/>
      <c r="AD31" s="1157">
        <v>14</v>
      </c>
    </row>
    <row customHeight="1" ht="14.699999999999998">
      <c r="A32" s="1365" t="s">
        <v>2229</v>
      </c>
      <c r="B32" s="1365"/>
      <c r="C32" s="1365"/>
      <c r="D32" s="1365"/>
      <c r="E32" s="1365" t="s">
        <v>104</v>
      </c>
      <c r="F32" s="1519"/>
      <c r="G32" s="1519"/>
      <c r="H32" s="539"/>
      <c r="I32" s="362"/>
      <c r="J32" s="377"/>
      <c r="K32" s="357"/>
      <c r="L32" s="1281"/>
      <c r="M32" s="1275"/>
      <c r="N32" s="1271"/>
      <c r="O32" s="1271"/>
      <c r="P32" s="1271"/>
      <c r="Q32" s="1271"/>
      <c r="R32" s="1271"/>
      <c r="S32" s="1271"/>
      <c r="T32" s="1271"/>
      <c r="U32" s="1271"/>
      <c r="V32" s="1272"/>
      <c r="W32" s="1271"/>
      <c r="X32" s="1273"/>
      <c r="Z32" s="502"/>
      <c r="AA32" s="502" t="str">
        <f>IF(M32="","",M32)</f>
        <v/>
      </c>
      <c r="AB32" s="502"/>
      <c r="AC32" s="502"/>
      <c r="AD32" s="1157">
        <v>14</v>
      </c>
    </row>
    <row s="1852" customFormat="1" customHeight="1" ht="11.549999999999999">
      <c r="A33" s="1365"/>
      <c r="B33" s="1365"/>
      <c r="C33" s="1365"/>
      <c r="D33" s="1365"/>
      <c r="E33" s="1365" t="s">
        <v>448</v>
      </c>
      <c r="F33" s="1520"/>
      <c r="G33" s="1521"/>
      <c r="H33" s="539"/>
      <c r="L33" s="1282"/>
      <c r="M33" s="1276"/>
      <c r="N33" s="1271"/>
      <c r="O33" s="1271"/>
      <c r="P33" s="1271"/>
      <c r="Q33" s="1271"/>
      <c r="R33" s="1271"/>
      <c r="S33" s="1271"/>
      <c r="T33" s="1271"/>
      <c r="U33" s="1271"/>
      <c r="V33" s="1272"/>
      <c r="W33" s="1271"/>
      <c r="X33" s="1273"/>
      <c r="Y33" s="381"/>
      <c r="Z33" s="381"/>
      <c r="AA33" s="381"/>
      <c r="AB33" s="381"/>
      <c r="AC33" s="381"/>
      <c r="AD33" s="375">
        <v>11</v>
      </c>
    </row>
    <row customHeight="1" ht="11.549999999999999">
      <c r="F34" s="1162"/>
      <c r="G34" s="1162"/>
      <c r="H34" s="539"/>
      <c r="I34" s="1157"/>
      <c r="J34" s="1157"/>
      <c r="K34" s="1157"/>
      <c r="Y34" s="1157"/>
      <c r="Z34" s="1157"/>
      <c r="AA34" s="1157"/>
      <c r="AB34" s="1157"/>
      <c r="AC34" s="1157"/>
      <c r="AD34" s="1157">
        <v>11</v>
      </c>
    </row>
    <row customHeight="1" ht="28.5">
      <c r="H35" s="539"/>
      <c r="L35" s="1290" t="s">
        <v>804</v>
      </c>
      <c r="M35" s="2287" t="s">
        <v>2230</v>
      </c>
      <c r="N35" s="2287"/>
      <c r="O35" s="2287"/>
      <c r="P35" s="2287"/>
      <c r="Q35" s="2287"/>
      <c r="R35" s="2287"/>
      <c r="S35" s="2287"/>
      <c r="T35" s="2287"/>
      <c r="U35" s="2287"/>
      <c r="V35" s="2287"/>
      <c r="W35" s="2287"/>
      <c r="X35" s="2287"/>
      <c r="AD35" s="1157">
        <v>27</v>
      </c>
    </row>
    <row customHeight="1" ht="109.19999999999999">
      <c r="H36" s="539"/>
      <c r="I36" s="1305"/>
      <c r="M36" s="2287" t="s">
        <v>2231</v>
      </c>
      <c r="N36" s="2287"/>
      <c r="O36" s="2287"/>
      <c r="P36" s="2287"/>
      <c r="Q36" s="2287"/>
      <c r="R36" s="2287"/>
      <c r="S36" s="2287"/>
      <c r="T36" s="2287"/>
      <c r="U36" s="2287"/>
      <c r="V36" s="2287"/>
      <c r="W36" s="2287"/>
      <c r="X36" s="2287"/>
      <c r="AD36" s="1157">
        <v>104</v>
      </c>
    </row>
    <row customHeight="1" ht="14.699999999999998">
      <c r="H37" s="539"/>
      <c r="AD37" s="1157">
        <v>14</v>
      </c>
    </row>
    <row customHeight="1" ht="14.699999999999998">
      <c r="H38" s="539"/>
      <c r="AD38" s="1157">
        <v>14</v>
      </c>
    </row>
    <row customHeight="1" ht="14.699999999999998">
      <c r="H39" s="539"/>
      <c r="AD39" s="1157">
        <v>14</v>
      </c>
    </row>
    <row customHeight="1" ht="14.699999999999998">
      <c r="H40" s="539"/>
      <c r="AD40" s="1157">
        <v>14</v>
      </c>
    </row>
    <row customHeight="1" ht="22.5" hidden="1">
      <c r="A41" s="1162" t="s">
        <v>82</v>
      </c>
      <c r="B41" s="1162">
        <v>0</v>
      </c>
      <c r="C41" s="1162">
        <v>0</v>
      </c>
      <c r="D41" s="1162">
        <v>0</v>
      </c>
      <c r="E41" s="1162">
        <v>0</v>
      </c>
      <c r="F41" s="1364">
        <v>0</v>
      </c>
      <c r="G41" s="1364">
        <v>0</v>
      </c>
      <c r="H41" s="1364">
        <v>0</v>
      </c>
      <c r="I41" s="1288">
        <v>3</v>
      </c>
      <c r="J41" s="346">
        <v>3</v>
      </c>
      <c r="K41" s="346">
        <v>3</v>
      </c>
      <c r="L41" s="583">
        <v>12</v>
      </c>
      <c r="M41" s="1157">
        <v>31</v>
      </c>
      <c r="N41" s="1157">
        <v>1</v>
      </c>
      <c r="O41" s="1157">
        <v>24</v>
      </c>
      <c r="P41" s="1157">
        <v>24</v>
      </c>
      <c r="Q41" s="1157">
        <v>24</v>
      </c>
      <c r="R41" s="1157">
        <v>24</v>
      </c>
      <c r="S41" s="1157">
        <v>11</v>
      </c>
      <c r="T41" s="1157">
        <v>3</v>
      </c>
      <c r="U41" s="1157">
        <v>11</v>
      </c>
      <c r="V41" s="1157">
        <v>8</v>
      </c>
      <c r="W41" s="1157">
        <v>4</v>
      </c>
      <c r="X41" s="1157">
        <v>115</v>
      </c>
      <c r="Y41" s="513">
        <v>10</v>
      </c>
      <c r="Z41" s="513">
        <v>10</v>
      </c>
      <c r="AA41" s="513">
        <v>10</v>
      </c>
      <c r="AB41" s="513">
        <v>10</v>
      </c>
      <c r="AC41" s="513">
        <v>10</v>
      </c>
      <c r="AD41" s="1157">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C96A8F-6098-DBA5-5A2D-6DA89ABFA4F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0043B1-9F29-DE31-80D9-16B046C013A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CDF6B6-9665-A27B-31FF-0DA1B50878B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B658FC-B47D-77A6-BD96-E793F12A115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C733B1-395B-6F55-6AFB-A08ED2451A2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F084C1-F47E-F996-2518-D336AF2A72FD}"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8" width="15.00390625" hidden="1" customWidth="1"/>
    <col min="2"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121.00390625" customWidth="1"/>
    <col min="8" max="8" style="457" width="8.00390625" customWidth="1"/>
    <col min="9" max="9" style="457" width="64.00390625" customWidth="1"/>
    <col min="10" max="10" style="457" width="9.140625" hidden="1"/>
  </cols>
  <sheetData>
    <row customHeight="1" ht="11.25" hidden="1">
      <c r="A1" s="1688" t="s">
        <v>299</v>
      </c>
      <c r="J1" s="457" t="s">
        <v>14</v>
      </c>
    </row>
    <row customHeight="1" ht="11.25" hidden="1">
      <c r="J2" s="457">
        <v>0</v>
      </c>
    </row>
    <row s="479" customFormat="1" customHeight="1" ht="11.549999999999999">
      <c r="A3" s="1688"/>
      <c r="B3" s="503"/>
      <c r="D3" s="480"/>
      <c r="J3" s="479">
        <v>11</v>
      </c>
    </row>
    <row customHeight="1" ht="27.299999999999997">
      <c r="D4" s="215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0"/>
      <c r="F4" s="2161"/>
      <c r="I4" s="717"/>
      <c r="J4" s="457">
        <v>26</v>
      </c>
    </row>
    <row customHeight="1" ht="18">
      <c r="D5" s="2178" t="str">
        <f>IF(org=0,"Не определено",org)</f>
        <v>ПАО "ТГК-2"</v>
      </c>
      <c r="E5" s="2178"/>
      <c r="F5" s="2178"/>
      <c r="I5" s="717"/>
      <c r="J5" s="457">
        <v>17</v>
      </c>
    </row>
    <row s="479" customFormat="1" customHeight="1" ht="11.549999999999999">
      <c r="A6" s="1688"/>
      <c r="B6" s="503"/>
      <c r="D6" s="716"/>
      <c r="E6" s="716"/>
      <c r="F6" s="754"/>
      <c r="G6" s="716"/>
      <c r="J6" s="479">
        <v>11</v>
      </c>
    </row>
    <row customHeight="1" ht="11.25" hidden="1">
      <c r="A7" s="459"/>
      <c r="B7" s="504"/>
      <c r="C7" s="459"/>
      <c r="D7" s="465"/>
      <c r="E7" s="2209"/>
      <c r="F7" s="2209"/>
      <c r="J7" s="457">
        <v>0</v>
      </c>
    </row>
    <row customHeight="1" ht="11.549999999999999">
      <c r="A8" s="459"/>
      <c r="B8" s="504"/>
      <c r="C8" s="459"/>
      <c r="D8" s="2206" t="s">
        <v>300</v>
      </c>
      <c r="E8" s="2207"/>
      <c r="F8" s="2207"/>
      <c r="G8" s="2210" t="s">
        <v>301</v>
      </c>
      <c r="J8" s="457">
        <v>11</v>
      </c>
    </row>
    <row customHeight="1" ht="11.549999999999999">
      <c r="A9" s="459"/>
      <c r="B9" s="504"/>
      <c r="C9" s="459"/>
      <c r="D9" s="474" t="s">
        <v>88</v>
      </c>
      <c r="E9" s="448" t="s">
        <v>302</v>
      </c>
      <c r="F9" s="448" t="s">
        <v>303</v>
      </c>
      <c r="G9" s="2211"/>
      <c r="J9" s="457">
        <v>11</v>
      </c>
    </row>
    <row customHeight="1" ht="12" hidden="1">
      <c r="A10" s="459"/>
      <c r="B10" s="504"/>
      <c r="C10" s="459"/>
      <c r="D10" s="466"/>
      <c r="E10" s="466"/>
      <c r="F10" s="466"/>
      <c r="G10" s="466"/>
      <c r="J10" s="457">
        <v>0</v>
      </c>
    </row>
    <row customHeight="1" ht="22.5" hidden="1">
      <c r="A11" s="459"/>
      <c r="B11" s="504"/>
      <c r="C11" s="459"/>
      <c r="D11" s="1011" t="s">
        <v>109</v>
      </c>
      <c r="E11" s="1014" t="s">
        <v>304</v>
      </c>
      <c r="F11" s="1013" t="str">
        <f>IF(region_name="","",region_name)</f>
        <v>Вологодская область</v>
      </c>
      <c r="G11" s="1014" t="s">
        <v>305</v>
      </c>
      <c r="H11" s="477"/>
      <c r="J11" s="457">
        <v>0</v>
      </c>
    </row>
    <row customHeight="1" ht="22.5" hidden="1">
      <c r="A12" s="459"/>
      <c r="B12" s="504"/>
      <c r="C12" s="459"/>
      <c r="D12" s="447" t="s">
        <v>109</v>
      </c>
      <c r="E12" s="44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5" t="s">
        <v>306</v>
      </c>
      <c r="G12" s="476"/>
      <c r="H12" s="477"/>
      <c r="J12" s="457">
        <v>0</v>
      </c>
    </row>
    <row customHeight="1" ht="23.25">
      <c r="A13" s="459"/>
      <c r="B13" s="504"/>
      <c r="C13" s="459"/>
      <c r="D13" s="447" t="s">
        <v>109</v>
      </c>
      <c r="E13" s="444" t="str">
        <f>"Наименование юридического лица"&amp;IF(TEMPLATE_SPHERE="TKO"," (индивидуального предпринимателя)","")</f>
        <v>Наименование юридического лица</v>
      </c>
      <c r="F13" s="443"/>
      <c r="G13" s="44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7"/>
      <c r="J13" s="457">
        <v>22</v>
      </c>
    </row>
    <row customHeight="1" ht="22.5" hidden="1">
      <c r="A14" s="459"/>
      <c r="B14" s="504"/>
      <c r="C14" s="459"/>
      <c r="D14" s="1011" t="s">
        <v>307</v>
      </c>
      <c r="E14" s="1012" t="s">
        <v>308</v>
      </c>
      <c r="F14" s="1013" t="str">
        <f>IF(inn="","",inn)</f>
        <v>7606053324</v>
      </c>
      <c r="G14" s="1014" t="s">
        <v>309</v>
      </c>
      <c r="H14" s="477"/>
      <c r="J14" s="457">
        <v>0</v>
      </c>
    </row>
    <row customHeight="1" ht="22.5" hidden="1">
      <c r="A15" s="459"/>
      <c r="B15" s="504"/>
      <c r="C15" s="459"/>
      <c r="D15" s="1011" t="s">
        <v>310</v>
      </c>
      <c r="E15" s="1012" t="s">
        <v>311</v>
      </c>
      <c r="F15" s="1013" t="str">
        <f>IF(kpp="","",kpp)</f>
        <v>352531001</v>
      </c>
      <c r="G15" s="1014" t="s">
        <v>312</v>
      </c>
      <c r="H15" s="477"/>
      <c r="J15" s="457">
        <v>0</v>
      </c>
    </row>
    <row customHeight="1" ht="39">
      <c r="A16" s="459"/>
      <c r="B16" s="504"/>
      <c r="C16" s="459"/>
      <c r="D16" s="447" t="s">
        <v>110</v>
      </c>
      <c r="E16" s="44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3"/>
      <c r="G16" s="446"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7"/>
      <c r="J16" s="457">
        <v>37</v>
      </c>
    </row>
    <row customHeight="1" ht="23.25">
      <c r="A17" s="459"/>
      <c r="B17" s="504"/>
      <c r="C17" s="459"/>
      <c r="D17" s="447" t="s">
        <v>90</v>
      </c>
      <c r="E17" s="444" t="str">
        <f>"Дата присвоения ОГРН"&amp;IF(TEMPLATE_SPHERE="TKO",""," (ОГРНИП)")</f>
        <v>Дата присвоения ОГРН (ОГРНИП)</v>
      </c>
      <c r="F17" s="1734" t="s">
        <v>22</v>
      </c>
      <c r="G17" s="446" t="str">
        <f>"Дата присвоения ОГРН"&amp;IF(TEMPLATE_SPHERE="TKO",""," (ОГРНИП)")&amp;" указывается в виде «ДД.ММ.ГГГГ»."</f>
        <v>Дата присвоения ОГРН (ОГРНИП) указывается в виде «ДД.ММ.ГГГГ».</v>
      </c>
      <c r="H17" s="477"/>
      <c r="J17" s="457">
        <v>22</v>
      </c>
    </row>
    <row customHeight="1" ht="71.25">
      <c r="A18" s="459"/>
      <c r="B18" s="504"/>
      <c r="C18" s="459"/>
      <c r="D18" s="447" t="s">
        <v>91</v>
      </c>
      <c r="E18" s="44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3"/>
      <c r="G18" s="476"/>
      <c r="H18" s="477"/>
      <c r="J18" s="457">
        <v>68</v>
      </c>
    </row>
    <row customHeight="1" ht="22.5" hidden="1">
      <c r="A19" s="2204" t="s">
        <v>313</v>
      </c>
      <c r="B19" s="504"/>
      <c r="C19" s="2215"/>
      <c r="D19" s="447" t="str">
        <f>A19</f>
        <v>5.1</v>
      </c>
      <c r="E19" s="444" t="s">
        <v>314</v>
      </c>
      <c r="F19" s="445" t="s">
        <v>306</v>
      </c>
      <c r="G19" s="446" t="s">
        <v>315</v>
      </c>
      <c r="H19" s="477"/>
      <c r="I19" s="854"/>
      <c r="J19" s="457">
        <v>0</v>
      </c>
    </row>
    <row customHeight="1" ht="24" hidden="1">
      <c r="A20" s="2204"/>
      <c r="B20" s="504"/>
      <c r="C20" s="2215"/>
      <c r="D20" s="442" t="str">
        <f>D19&amp;".1"</f>
        <v>5.1.1</v>
      </c>
      <c r="E20" s="441" t="s">
        <v>316</v>
      </c>
      <c r="F20" s="883" t="s">
        <v>22</v>
      </c>
      <c r="G20" s="476"/>
      <c r="H20" s="477"/>
      <c r="I20" s="854"/>
      <c r="J20" s="457">
        <v>0</v>
      </c>
    </row>
    <row customHeight="1" ht="22.5" hidden="1">
      <c r="A21" s="2204"/>
      <c r="B21" s="504"/>
      <c r="C21" s="2215"/>
      <c r="D21" s="442" t="str">
        <f>D19&amp;".2"</f>
        <v>5.1.2</v>
      </c>
      <c r="E21" s="441" t="s">
        <v>317</v>
      </c>
      <c r="F21" s="1735" t="s">
        <v>22</v>
      </c>
      <c r="G21" s="446" t="s">
        <v>318</v>
      </c>
      <c r="H21" s="477"/>
      <c r="I21" s="854"/>
      <c r="J21" s="457">
        <v>0</v>
      </c>
    </row>
    <row customHeight="1" ht="22.5" hidden="1">
      <c r="A22" s="2204"/>
      <c r="B22" s="504"/>
      <c r="C22" s="2215"/>
      <c r="D22" s="442" t="str">
        <f>D19&amp;".3"</f>
        <v>5.1.3</v>
      </c>
      <c r="E22" s="441" t="s">
        <v>319</v>
      </c>
      <c r="F22" s="883" t="s">
        <v>22</v>
      </c>
      <c r="G22" s="476"/>
      <c r="H22" s="477"/>
      <c r="I22" s="854"/>
      <c r="J22" s="457">
        <v>0</v>
      </c>
    </row>
    <row customHeight="1" ht="22.5" hidden="1">
      <c r="A23" s="2204"/>
      <c r="B23" s="504"/>
      <c r="C23" s="2215"/>
      <c r="D23" s="442" t="str">
        <f>D19&amp;".4"</f>
        <v>5.1.4</v>
      </c>
      <c r="E23" s="441" t="s">
        <v>320</v>
      </c>
      <c r="F23" s="883" t="s">
        <v>22</v>
      </c>
      <c r="G23" s="446" t="s">
        <v>321</v>
      </c>
      <c r="H23" s="477"/>
      <c r="I23" s="854"/>
      <c r="J23" s="457">
        <v>0</v>
      </c>
    </row>
    <row customHeight="1" ht="22.5" hidden="1">
      <c r="A24" s="1980"/>
      <c r="B24" s="504"/>
      <c r="C24" s="494"/>
      <c r="D24" s="469"/>
      <c r="E24" s="1170" t="s">
        <v>322</v>
      </c>
      <c r="F24" s="470"/>
      <c r="G24" s="471"/>
      <c r="H24" s="477"/>
      <c r="I24" s="854"/>
      <c r="J24" s="457">
        <v>0</v>
      </c>
    </row>
    <row s="503" customFormat="1" customHeight="1" ht="24.75" hidden="1">
      <c r="A25" s="459"/>
      <c r="B25" s="504"/>
      <c r="C25" s="504"/>
      <c r="D25" s="1008" t="s">
        <v>90</v>
      </c>
      <c r="E25" s="1010" t="s">
        <v>323</v>
      </c>
      <c r="F25" s="1015" t="s">
        <v>306</v>
      </c>
      <c r="G25" s="1010"/>
      <c r="J25" s="503">
        <v>0</v>
      </c>
    </row>
    <row s="503" customFormat="1" customHeight="1" ht="11.25" hidden="1">
      <c r="A26" s="459"/>
      <c r="B26" s="504"/>
      <c r="C26" s="504"/>
      <c r="D26" s="1008" t="s">
        <v>324</v>
      </c>
      <c r="E26" s="1009" t="s">
        <v>325</v>
      </c>
      <c r="F26" s="1015" t="s">
        <v>306</v>
      </c>
      <c r="G26" s="1010"/>
      <c r="J26" s="503">
        <v>0</v>
      </c>
    </row>
    <row s="503" customFormat="1" customHeight="1" ht="11.25" hidden="1">
      <c r="A27" s="459"/>
      <c r="B27" s="504"/>
      <c r="C27" s="504"/>
      <c r="D27" s="1008" t="s">
        <v>326</v>
      </c>
      <c r="E27" s="1016" t="s">
        <v>327</v>
      </c>
      <c r="F27" s="1017"/>
      <c r="G27" s="101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3">
        <v>0</v>
      </c>
    </row>
    <row s="503" customFormat="1" customHeight="1" ht="11.25" hidden="1">
      <c r="A28" s="459"/>
      <c r="B28" s="504"/>
      <c r="C28" s="504"/>
      <c r="D28" s="1008" t="s">
        <v>328</v>
      </c>
      <c r="E28" s="1016" t="s">
        <v>329</v>
      </c>
      <c r="F28" s="1017"/>
      <c r="G28" s="101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3">
        <v>0</v>
      </c>
    </row>
    <row s="503" customFormat="1" customHeight="1" ht="11.25" hidden="1">
      <c r="A29" s="459"/>
      <c r="B29" s="504"/>
      <c r="C29" s="504"/>
      <c r="D29" s="1008" t="s">
        <v>330</v>
      </c>
      <c r="E29" s="1016" t="s">
        <v>331</v>
      </c>
      <c r="F29" s="1017"/>
      <c r="G29" s="101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3">
        <v>0</v>
      </c>
    </row>
    <row s="503" customFormat="1" customHeight="1" ht="11.25" hidden="1">
      <c r="A30" s="459"/>
      <c r="B30" s="504"/>
      <c r="C30" s="504"/>
      <c r="D30" s="1008" t="s">
        <v>332</v>
      </c>
      <c r="E30" s="1009" t="s">
        <v>333</v>
      </c>
      <c r="F30" s="1017"/>
      <c r="G30" s="1010"/>
      <c r="J30" s="503">
        <v>0</v>
      </c>
    </row>
    <row s="503" customFormat="1" customHeight="1" ht="11.25" hidden="1">
      <c r="A31" s="459"/>
      <c r="B31" s="504"/>
      <c r="C31" s="504"/>
      <c r="D31" s="1008" t="s">
        <v>334</v>
      </c>
      <c r="E31" s="1009" t="s">
        <v>335</v>
      </c>
      <c r="F31" s="1017"/>
      <c r="G31" s="1010"/>
      <c r="J31" s="503">
        <v>0</v>
      </c>
    </row>
    <row s="503" customFormat="1" customHeight="1" ht="11.25" hidden="1">
      <c r="A32" s="459"/>
      <c r="B32" s="504"/>
      <c r="C32" s="504"/>
      <c r="D32" s="1008" t="s">
        <v>336</v>
      </c>
      <c r="E32" s="1009" t="s">
        <v>337</v>
      </c>
      <c r="F32" s="1018"/>
      <c r="G32" s="1010"/>
      <c r="J32" s="503">
        <v>0</v>
      </c>
    </row>
    <row customHeight="1" ht="24">
      <c r="A33" s="459" t="str">
        <f>IF(TEMPLATE_SPHERE="HEAT","6","5")</f>
        <v>6</v>
      </c>
      <c r="B33" s="504"/>
      <c r="C33" s="459"/>
      <c r="D33" s="442" t="str">
        <f>A33</f>
        <v>6</v>
      </c>
      <c r="E33" s="44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5" t="s">
        <v>306</v>
      </c>
      <c r="G33" s="476"/>
      <c r="H33" s="477"/>
      <c r="J33" s="457">
        <v>23</v>
      </c>
    </row>
    <row customHeight="1" ht="23.25">
      <c r="A34" s="459"/>
      <c r="B34" s="504"/>
      <c r="C34" s="459"/>
      <c r="D34" s="442" t="str">
        <f>D33&amp;".1"</f>
        <v>6.1</v>
      </c>
      <c r="E34" s="444" t="str">
        <f>"фамилия"&amp;IF(TEMPLATE_SPHERE&lt;&gt;"HEAT"," руководителя","")</f>
        <v>фамилия</v>
      </c>
      <c r="F34" s="443"/>
      <c r="G34" s="44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7"/>
      <c r="J34" s="457">
        <v>22</v>
      </c>
    </row>
    <row customHeight="1" ht="23.25">
      <c r="A35" s="459"/>
      <c r="B35" s="504"/>
      <c r="C35" s="459"/>
      <c r="D35" s="442" t="str">
        <f>D33&amp;".2"</f>
        <v>6.2</v>
      </c>
      <c r="E35" s="444" t="str">
        <f>"имя"&amp;IF(TEMPLATE_SPHERE&lt;&gt;"HEAT"," руководителя","")</f>
        <v>имя</v>
      </c>
      <c r="F35" s="443"/>
      <c r="G35" s="44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7"/>
      <c r="J35" s="457">
        <v>22</v>
      </c>
    </row>
    <row customHeight="1" ht="24">
      <c r="A36" s="459"/>
      <c r="B36" s="504"/>
      <c r="C36" s="459"/>
      <c r="D36" s="442" t="str">
        <f>D33&amp;".3"</f>
        <v>6.3</v>
      </c>
      <c r="E36" s="444" t="str">
        <f>"отчество"&amp;IF(TEMPLATE_SPHERE&lt;&gt;"HEAT"," руководителя","")</f>
        <v>отчество</v>
      </c>
      <c r="F36" s="700"/>
      <c r="G36" s="44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7"/>
      <c r="J36" s="457">
        <v>23</v>
      </c>
    </row>
    <row customHeight="1" ht="35.699999999999996">
      <c r="A37" s="459"/>
      <c r="B37" s="504"/>
      <c r="C37" s="459"/>
      <c r="D37" s="442">
        <f>D33+1</f>
        <v>7</v>
      </c>
      <c r="E37" s="440"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3"/>
      <c r="G37" s="446" t="s">
        <v>338</v>
      </c>
      <c r="H37" s="477"/>
      <c r="J37" s="457">
        <v>34</v>
      </c>
    </row>
    <row customHeight="1" ht="35.699999999999996">
      <c r="A38" s="459"/>
      <c r="B38" s="504"/>
      <c r="C38" s="459"/>
      <c r="D38" s="442">
        <f>D37+1</f>
        <v>8</v>
      </c>
      <c r="E38" s="440"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3"/>
      <c r="G38" s="446" t="s">
        <v>338</v>
      </c>
      <c r="H38" s="477"/>
      <c r="J38" s="457">
        <v>34</v>
      </c>
    </row>
    <row customHeight="1" ht="23.25">
      <c r="A39" s="459"/>
      <c r="B39" s="504"/>
      <c r="C39" s="459"/>
      <c r="D39" s="442">
        <f>D38+1</f>
        <v>9</v>
      </c>
      <c r="E39" s="43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5" t="s">
        <v>306</v>
      </c>
      <c r="G39" s="221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7"/>
      <c r="J39" s="457">
        <v>22</v>
      </c>
    </row>
    <row customHeight="1" ht="22.5" hidden="1">
      <c r="A40" s="459"/>
      <c r="B40" s="504"/>
      <c r="C40" s="459"/>
      <c r="D40" s="442" t="str">
        <f>D39&amp;".0"</f>
        <v>9.0</v>
      </c>
      <c r="E40" s="1607"/>
      <c r="F40" s="883"/>
      <c r="G40" s="2213"/>
      <c r="H40" s="477"/>
      <c r="J40" s="457">
        <v>0</v>
      </c>
    </row>
    <row customHeight="1" ht="23.25">
      <c r="A41" s="459"/>
      <c r="B41" s="459"/>
      <c r="C41" s="1690"/>
      <c r="D41" s="442" t="str">
        <f>D39&amp;".1"</f>
        <v>9.1</v>
      </c>
      <c r="E41" s="862"/>
      <c r="F41" s="863"/>
      <c r="G41" s="2213"/>
      <c r="H41" s="477"/>
      <c r="J41" s="457">
        <v>22</v>
      </c>
    </row>
    <row customHeight="1" ht="15.75">
      <c r="A42" s="459"/>
      <c r="B42" s="504"/>
      <c r="C42" s="459"/>
      <c r="D42" s="469"/>
      <c r="E42" s="417" t="s">
        <v>339</v>
      </c>
      <c r="F42" s="471"/>
      <c r="G42" s="2214"/>
      <c r="H42" s="478"/>
      <c r="J42" s="457">
        <v>15</v>
      </c>
    </row>
    <row customHeight="1" ht="27.299999999999997">
      <c r="A43" s="459"/>
      <c r="B43" s="504"/>
      <c r="C43" s="459"/>
      <c r="D43" s="442">
        <f>D39+1</f>
        <v>10</v>
      </c>
      <c r="E43" s="440"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4"/>
      <c r="G43" s="44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7"/>
      <c r="J43" s="457">
        <v>26</v>
      </c>
    </row>
    <row customHeight="1" ht="23.25">
      <c r="A44" s="459"/>
      <c r="B44" s="504"/>
      <c r="C44" s="459"/>
      <c r="D44" s="442">
        <f>D43+1</f>
        <v>11</v>
      </c>
      <c r="E44" s="440"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0"/>
      <c r="G44" s="476" t="s">
        <v>340</v>
      </c>
      <c r="H44" s="477"/>
      <c r="J44" s="457">
        <v>22</v>
      </c>
    </row>
    <row customHeight="1" ht="23.25">
      <c r="A45" s="459"/>
      <c r="B45" s="504"/>
      <c r="C45" s="459"/>
      <c r="D45" s="442">
        <f>D44+1</f>
        <v>12</v>
      </c>
      <c r="E45" s="440" t="s">
        <v>341</v>
      </c>
      <c r="F45" s="445" t="s">
        <v>306</v>
      </c>
      <c r="G45" s="439" t="str">
        <f>IF(TEMPLATE_SPHERE="TKO","Указывается режим работы организации.","")</f>
        <v/>
      </c>
      <c r="H45" s="477"/>
      <c r="J45" s="457">
        <v>22</v>
      </c>
    </row>
    <row customHeight="1" ht="24">
      <c r="A46" s="459"/>
      <c r="B46" s="504"/>
      <c r="C46" s="459"/>
      <c r="D46" s="442" t="str">
        <f>D45&amp;".1"</f>
        <v>12.1</v>
      </c>
      <c r="E46" s="444" t="str">
        <f>"режим работы регулируемой организации"&amp;IF(TEMPLATE_SPHERE="HEAT",", ЕТО, ТО","")</f>
        <v>режим работы регулируемой организации, ЕТО, ТО</v>
      </c>
      <c r="F46" s="1686"/>
      <c r="G46" s="439" t="s">
        <v>342</v>
      </c>
      <c r="H46" s="477"/>
      <c r="J46" s="457">
        <v>23</v>
      </c>
    </row>
    <row customHeight="1" ht="24">
      <c r="A47" s="2204"/>
      <c r="B47" s="504"/>
      <c r="C47" s="494"/>
      <c r="D47" s="442" t="str">
        <f>D45&amp;".2"</f>
        <v>12.2</v>
      </c>
      <c r="E47" s="444" t="s">
        <v>343</v>
      </c>
      <c r="F47" s="492"/>
      <c r="G47" s="439" t="s">
        <v>344</v>
      </c>
      <c r="H47" s="477"/>
      <c r="J47" s="457">
        <v>23</v>
      </c>
    </row>
    <row customHeight="1" ht="24">
      <c r="A48" s="2204"/>
      <c r="B48" s="504"/>
      <c r="C48" s="494"/>
      <c r="D48" s="442" t="str">
        <f>D45&amp;".3"</f>
        <v>12.3</v>
      </c>
      <c r="E48" s="444" t="s">
        <v>345</v>
      </c>
      <c r="F48" s="492"/>
      <c r="G48" s="439" t="s">
        <v>346</v>
      </c>
      <c r="H48" s="477"/>
      <c r="J48" s="457">
        <v>23</v>
      </c>
    </row>
    <row customHeight="1" ht="24">
      <c r="A49" s="2204"/>
      <c r="B49" s="504"/>
      <c r="C49" s="494"/>
      <c r="D49" s="442" t="str">
        <f>IF(TEMPLATE_SPHERE="TKO",D45&amp;".0",D45&amp;".4")</f>
        <v>12.4</v>
      </c>
      <c r="E49" s="438" t="s">
        <v>347</v>
      </c>
      <c r="F49" s="1687"/>
      <c r="G49" s="1764" t="s">
        <v>348</v>
      </c>
      <c r="H49" s="477"/>
      <c r="J49" s="457">
        <v>23</v>
      </c>
    </row>
    <row customHeight="1" ht="24">
      <c r="A50" s="459"/>
      <c r="B50" s="504"/>
      <c r="C50" s="459"/>
      <c r="D50" s="469"/>
      <c r="E50" s="417" t="s">
        <v>349</v>
      </c>
      <c r="F50" s="470"/>
      <c r="G50" s="1764" t="s">
        <v>350</v>
      </c>
      <c r="H50" s="478"/>
      <c r="J50" s="457">
        <v>23</v>
      </c>
    </row>
    <row customHeight="1" ht="24">
      <c r="A51" s="860"/>
      <c r="B51" s="504"/>
      <c r="C51" s="494"/>
      <c r="D51" s="442">
        <f>D45+1</f>
        <v>13</v>
      </c>
      <c r="E51" s="530" t="s">
        <v>351</v>
      </c>
      <c r="F51" s="492"/>
      <c r="G51" s="169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7"/>
      <c r="J51" s="457">
        <v>23</v>
      </c>
    </row>
    <row customHeight="1" ht="11.549999999999999">
      <c r="A52" s="459"/>
      <c r="B52" s="504"/>
      <c r="C52" s="459"/>
      <c r="J52" s="457">
        <v>11</v>
      </c>
    </row>
    <row s="462" customFormat="1" customHeight="1" ht="31.5">
      <c r="A53" s="1689"/>
      <c r="B53" s="505"/>
      <c r="C53" s="2205"/>
      <c r="D53" s="220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8"/>
      <c r="F53" s="2208"/>
      <c r="G53" s="2208"/>
      <c r="H53" s="456"/>
      <c r="I53" s="456"/>
      <c r="J53" s="462">
        <v>30</v>
      </c>
    </row>
    <row s="462" customFormat="1" customHeight="1" ht="42">
      <c r="A54" s="459"/>
      <c r="B54" s="504"/>
      <c r="C54" s="2205"/>
      <c r="D54" s="2208"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8"/>
      <c r="F54" s="2208"/>
      <c r="G54" s="2208"/>
      <c r="J54" s="462">
        <v>40</v>
      </c>
    </row>
    <row customHeight="1" ht="11.549999999999999">
      <c r="D55" s="460"/>
      <c r="E55" s="461"/>
      <c r="F55" s="461"/>
      <c r="G55" s="461"/>
      <c r="J55" s="457">
        <v>11</v>
      </c>
    </row>
    <row customHeight="1" ht="28.5">
      <c r="D56" s="463"/>
      <c r="E56" s="460"/>
      <c r="F56" s="472"/>
      <c r="G56" s="472"/>
      <c r="J56" s="457">
        <v>27</v>
      </c>
    </row>
    <row customHeight="1" ht="11.549999999999999">
      <c r="D57" s="460"/>
      <c r="E57" s="460"/>
      <c r="F57" s="461"/>
      <c r="G57" s="461"/>
      <c r="J57" s="457">
        <v>11</v>
      </c>
    </row>
    <row customHeight="1" ht="40.949999999999996">
      <c r="D58" s="464"/>
      <c r="E58" s="473"/>
      <c r="F58" s="473"/>
      <c r="G58" s="473"/>
      <c r="J58" s="457">
        <v>39</v>
      </c>
    </row>
    <row customHeight="1" ht="28.5">
      <c r="D59" s="464"/>
      <c r="E59" s="473"/>
      <c r="F59" s="473"/>
      <c r="G59" s="473"/>
      <c r="J59" s="457">
        <v>27</v>
      </c>
    </row>
    <row customHeight="1" ht="11.25" hidden="1">
      <c r="A60" s="1688" t="s">
        <v>82</v>
      </c>
      <c r="B60" s="503">
        <v>0</v>
      </c>
      <c r="C60" s="457">
        <v>3</v>
      </c>
      <c r="D60" s="458">
        <v>6</v>
      </c>
      <c r="E60" s="457">
        <v>52</v>
      </c>
      <c r="F60" s="457">
        <v>48</v>
      </c>
      <c r="G60" s="457">
        <v>121</v>
      </c>
      <c r="H60" s="457">
        <v>8</v>
      </c>
      <c r="I60" s="457">
        <v>64</v>
      </c>
      <c r="J60" s="457">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1ED448-DCE6-550E-9297-A1B73A9F866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F39D48-9F39-FC71-9944-FCDBDC5C33B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D3682B-629C-8ECD-F39B-D646A54BD572}"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8"/>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810B5D-776B-6834-5AC3-3C88372D1FB2}" mc:Ignorable="x14ac xr xr2 xr3">
  <dimension ref="A1:E8"/>
  <sheetViews>
    <sheetView topLeftCell="A1" showGridLines="0" workbookViewId="0">
      <selection activeCell="A1" sqref="A1"/>
    </sheetView>
  </sheetViews>
  <sheetFormatPr customHeight="1" defaultRowHeight="11.25"/>
  <cols>
    <col min="1" max="1" style="66" width="10.57421875" customWidth="1"/>
    <col min="2" max="2" style="66" width="8.7109375" customWidth="1"/>
    <col min="3" max="3" style="66" width="18.140625" customWidth="1"/>
    <col min="4" max="4" style="66" width="12.57421875" customWidth="1"/>
  </cols>
  <sheetData>
    <row customHeight="1" ht="11.25">
      <c r="A1" s="2617" t="s">
        <v>2232</v>
      </c>
      <c r="B1" s="2618" t="s">
        <v>2233</v>
      </c>
      <c r="C1" s="2619" t="s">
        <v>2234</v>
      </c>
      <c r="D1" s="2620"/>
      <c r="E1" s="838" t="s">
        <v>2235</v>
      </c>
    </row>
    <row customHeight="1" ht="11.25">
      <c r="A2" s="2621"/>
      <c r="B2" s="767" t="s">
        <v>27</v>
      </c>
      <c r="C2" s="755"/>
      <c r="D2" s="766"/>
      <c r="E2" s="838"/>
    </row>
    <row customHeight="1" ht="11.25">
      <c r="A3" s="2622"/>
      <c r="B3" s="2623" t="s">
        <v>33</v>
      </c>
      <c r="C3" s="755"/>
      <c r="D3" s="766"/>
      <c r="E3" s="838"/>
    </row>
    <row customHeight="1" ht="11.25">
      <c r="A4" s="2624"/>
      <c r="B4" s="768" t="s">
        <v>1659</v>
      </c>
      <c r="C4" s="755"/>
      <c r="D4" s="766"/>
      <c r="E4" s="838"/>
    </row>
    <row customHeight="1" ht="11.25">
      <c r="A5" s="2625"/>
      <c r="B5" s="768" t="s">
        <v>1653</v>
      </c>
      <c r="C5" s="2626" t="s">
        <v>1999</v>
      </c>
      <c r="D5" s="2627" t="s">
        <v>2236</v>
      </c>
      <c r="E5" s="838"/>
    </row>
    <row s="1852" customFormat="1" customHeight="1" ht="11.25">
      <c r="A6" s="2628"/>
      <c r="B6" s="768" t="s">
        <v>1663</v>
      </c>
      <c r="C6" s="755"/>
      <c r="D6" s="766"/>
      <c r="E6" s="838"/>
    </row>
    <row customHeight="1" ht="11.25">
      <c r="A7" s="2629"/>
      <c r="B7" s="768" t="s">
        <v>1671</v>
      </c>
      <c r="C7" s="755"/>
      <c r="D7" s="766"/>
      <c r="E7" s="838"/>
    </row>
    <row customHeight="1" ht="11.25">
      <c r="A8" s="758"/>
      <c r="B8" s="768" t="s">
        <v>1666</v>
      </c>
      <c r="C8" s="755"/>
      <c r="D8" s="766"/>
      <c r="E8" s="838"/>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AC2F7D-27FB-EC56-79E2-176915323CF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BFFA8A-2241-651B-75B8-B29A559CAF1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38EC84-2CF4-DCE7-1AB8-31EF30D70AF9}" mc:Ignorable="x14ac xr xr2 xr3">
  <sheetPr>
    <tabColor rgb="FFFFCC99"/>
  </sheetPr>
  <dimension ref="A1:I709"/>
  <sheetViews>
    <sheetView topLeftCell="A1" showGridLines="0" workbookViewId="0">
      <selection activeCell="A1" sqref="A1"/>
    </sheetView>
  </sheetViews>
  <sheetFormatPr defaultColWidth="9.140625" customHeight="1" defaultRowHeight="11.25"/>
  <cols>
    <col min="1" max="2" style="1852" width="9.140625"/>
    <col min="3" max="3" style="1852" width="20.7109375" customWidth="1"/>
    <col min="4" max="4" style="1852" width="25.140625" customWidth="1"/>
    <col min="5" max="9" style="1852" width="9.140625"/>
  </cols>
  <sheetData>
    <row customHeight="1" ht="11.25">
      <c r="A1" s="70" t="s">
        <v>2237</v>
      </c>
      <c r="B1" s="70" t="s">
        <v>2238</v>
      </c>
      <c r="C1" s="70" t="s">
        <v>2239</v>
      </c>
      <c r="D1" s="70" t="s">
        <v>2240</v>
      </c>
      <c r="E1" s="70" t="s">
        <v>2241</v>
      </c>
      <c r="F1" s="70" t="s">
        <v>2242</v>
      </c>
      <c r="G1" s="70" t="s">
        <v>2243</v>
      </c>
      <c r="H1" s="70" t="s">
        <v>2244</v>
      </c>
      <c r="I1" s="70" t="s">
        <v>2245</v>
      </c>
    </row>
    <row customHeight="1" ht="11.25">
      <c r="A2" s="1852" t="s">
        <v>2246</v>
      </c>
      <c r="B2" s="1852" t="s">
        <v>16</v>
      </c>
      <c r="C2" s="1852" t="s">
        <v>2247</v>
      </c>
      <c r="D2" s="1852" t="s">
        <v>2248</v>
      </c>
      <c r="E2" s="1852" t="s">
        <v>2249</v>
      </c>
      <c r="F2" s="1852" t="s">
        <v>2250</v>
      </c>
      <c r="G2" s="1852" t="s">
        <v>22</v>
      </c>
      <c r="H2" s="1852" t="s">
        <v>22</v>
      </c>
      <c r="I2" s="1852" t="s">
        <v>808</v>
      </c>
    </row>
    <row customHeight="1" ht="11.25">
      <c r="A3" s="1852" t="s">
        <v>2246</v>
      </c>
      <c r="B3" s="1852" t="s">
        <v>16</v>
      </c>
      <c r="C3" s="1852" t="s">
        <v>2251</v>
      </c>
      <c r="D3" s="1852" t="s">
        <v>2252</v>
      </c>
      <c r="E3" s="1852" t="s">
        <v>2253</v>
      </c>
      <c r="F3" s="1852" t="s">
        <v>2254</v>
      </c>
      <c r="G3" s="1852" t="s">
        <v>2255</v>
      </c>
      <c r="H3" s="1852" t="s">
        <v>22</v>
      </c>
      <c r="I3" s="1852" t="s">
        <v>808</v>
      </c>
    </row>
    <row customHeight="1" ht="11.25">
      <c r="A4" s="1852" t="s">
        <v>2246</v>
      </c>
      <c r="B4" s="1852" t="s">
        <v>16</v>
      </c>
      <c r="C4" s="1852" t="s">
        <v>2256</v>
      </c>
      <c r="D4" s="1852" t="s">
        <v>2257</v>
      </c>
      <c r="E4" s="1852" t="s">
        <v>2258</v>
      </c>
      <c r="F4" s="1852" t="s">
        <v>2259</v>
      </c>
      <c r="G4" s="1852" t="s">
        <v>2260</v>
      </c>
      <c r="H4" s="1852" t="s">
        <v>2261</v>
      </c>
      <c r="I4" s="1852" t="s">
        <v>808</v>
      </c>
    </row>
    <row customHeight="1" ht="11.25">
      <c r="A5" s="1852" t="s">
        <v>2246</v>
      </c>
      <c r="B5" s="1852" t="s">
        <v>16</v>
      </c>
      <c r="C5" s="1852" t="s">
        <v>2262</v>
      </c>
      <c r="D5" s="1852" t="s">
        <v>2263</v>
      </c>
      <c r="E5" s="1852" t="s">
        <v>2264</v>
      </c>
      <c r="F5" s="1852" t="s">
        <v>2259</v>
      </c>
      <c r="G5" s="1852" t="s">
        <v>2265</v>
      </c>
      <c r="H5" s="1852" t="s">
        <v>2266</v>
      </c>
      <c r="I5" s="1852" t="s">
        <v>808</v>
      </c>
    </row>
    <row customHeight="1" ht="11.25">
      <c r="A6" s="1852" t="s">
        <v>2246</v>
      </c>
      <c r="B6" s="1852" t="s">
        <v>16</v>
      </c>
      <c r="C6" s="1852" t="s">
        <v>2267</v>
      </c>
      <c r="D6" s="1852" t="s">
        <v>2268</v>
      </c>
      <c r="E6" s="1852" t="s">
        <v>2269</v>
      </c>
      <c r="F6" s="1852" t="s">
        <v>2259</v>
      </c>
      <c r="G6" s="1852" t="s">
        <v>2270</v>
      </c>
      <c r="H6" s="1852" t="s">
        <v>22</v>
      </c>
      <c r="I6" s="1852" t="s">
        <v>808</v>
      </c>
    </row>
    <row customHeight="1" ht="11.25">
      <c r="A7" s="1852" t="s">
        <v>2246</v>
      </c>
      <c r="B7" s="1852" t="s">
        <v>16</v>
      </c>
      <c r="C7" s="1852" t="s">
        <v>2271</v>
      </c>
      <c r="D7" s="1852" t="s">
        <v>2272</v>
      </c>
      <c r="E7" s="1852" t="s">
        <v>2273</v>
      </c>
      <c r="F7" s="1852" t="s">
        <v>2274</v>
      </c>
      <c r="G7" s="1852" t="s">
        <v>22</v>
      </c>
      <c r="H7" s="1852" t="s">
        <v>22</v>
      </c>
      <c r="I7" s="1852" t="s">
        <v>808</v>
      </c>
    </row>
    <row customHeight="1" ht="11.25">
      <c r="A8" s="1852" t="s">
        <v>2246</v>
      </c>
      <c r="B8" s="1852" t="s">
        <v>16</v>
      </c>
      <c r="C8" s="1852" t="s">
        <v>2275</v>
      </c>
      <c r="D8" s="1852" t="s">
        <v>2276</v>
      </c>
      <c r="E8" s="1852" t="s">
        <v>2277</v>
      </c>
      <c r="F8" s="1852" t="s">
        <v>2274</v>
      </c>
      <c r="G8" s="1852" t="s">
        <v>22</v>
      </c>
      <c r="H8" s="1852" t="s">
        <v>22</v>
      </c>
      <c r="I8" s="1852" t="s">
        <v>808</v>
      </c>
    </row>
    <row customHeight="1" ht="11.25">
      <c r="A9" s="1852" t="s">
        <v>2246</v>
      </c>
      <c r="B9" s="1852" t="s">
        <v>16</v>
      </c>
      <c r="C9" s="1852" t="s">
        <v>2278</v>
      </c>
      <c r="D9" s="1852" t="s">
        <v>2279</v>
      </c>
      <c r="E9" s="1852" t="s">
        <v>2280</v>
      </c>
      <c r="F9" s="1852" t="s">
        <v>2281</v>
      </c>
      <c r="G9" s="1852" t="s">
        <v>2282</v>
      </c>
      <c r="H9" s="1852" t="s">
        <v>22</v>
      </c>
      <c r="I9" s="1852" t="s">
        <v>808</v>
      </c>
    </row>
    <row customHeight="1" ht="11.25">
      <c r="A10" s="1852" t="s">
        <v>2246</v>
      </c>
      <c r="B10" s="1852" t="s">
        <v>16</v>
      </c>
      <c r="C10" s="1852" t="s">
        <v>2283</v>
      </c>
      <c r="D10" s="1852" t="s">
        <v>2284</v>
      </c>
      <c r="E10" s="1852" t="s">
        <v>2285</v>
      </c>
      <c r="F10" s="1852" t="s">
        <v>2274</v>
      </c>
      <c r="G10" s="1852" t="s">
        <v>2286</v>
      </c>
      <c r="H10" s="1852" t="s">
        <v>22</v>
      </c>
      <c r="I10" s="1852" t="s">
        <v>808</v>
      </c>
    </row>
    <row customHeight="1" ht="11.25">
      <c r="A11" s="1852" t="s">
        <v>2246</v>
      </c>
      <c r="B11" s="1852" t="s">
        <v>16</v>
      </c>
      <c r="C11" s="1852" t="s">
        <v>2287</v>
      </c>
      <c r="D11" s="1852" t="s">
        <v>2288</v>
      </c>
      <c r="E11" s="1852" t="s">
        <v>2289</v>
      </c>
      <c r="F11" s="1852" t="s">
        <v>2274</v>
      </c>
      <c r="G11" s="1852" t="s">
        <v>2290</v>
      </c>
      <c r="H11" s="1852" t="s">
        <v>22</v>
      </c>
      <c r="I11" s="1852" t="s">
        <v>808</v>
      </c>
    </row>
    <row customHeight="1" ht="11.25">
      <c r="A12" s="1852" t="s">
        <v>2246</v>
      </c>
      <c r="B12" s="1852" t="s">
        <v>16</v>
      </c>
      <c r="C12" s="1852" t="s">
        <v>2291</v>
      </c>
      <c r="D12" s="1852" t="s">
        <v>2292</v>
      </c>
      <c r="E12" s="1852" t="s">
        <v>2293</v>
      </c>
      <c r="F12" s="1852" t="s">
        <v>2274</v>
      </c>
      <c r="G12" s="1852" t="s">
        <v>2294</v>
      </c>
      <c r="H12" s="1852" t="s">
        <v>22</v>
      </c>
      <c r="I12" s="1852" t="s">
        <v>808</v>
      </c>
    </row>
    <row customHeight="1" ht="11.25">
      <c r="A13" s="1852" t="s">
        <v>2246</v>
      </c>
      <c r="B13" s="1852" t="s">
        <v>16</v>
      </c>
      <c r="C13" s="1852" t="s">
        <v>2295</v>
      </c>
      <c r="D13" s="1852" t="s">
        <v>2296</v>
      </c>
      <c r="E13" s="1852" t="s">
        <v>2293</v>
      </c>
      <c r="F13" s="1852" t="s">
        <v>2297</v>
      </c>
      <c r="G13" s="1852" t="s">
        <v>2294</v>
      </c>
      <c r="H13" s="1852" t="s">
        <v>22</v>
      </c>
      <c r="I13" s="1852" t="s">
        <v>808</v>
      </c>
    </row>
    <row customHeight="1" ht="11.25">
      <c r="A14" s="1852" t="s">
        <v>2246</v>
      </c>
      <c r="B14" s="1852" t="s">
        <v>16</v>
      </c>
      <c r="C14" s="1852" t="s">
        <v>2298</v>
      </c>
      <c r="D14" s="1852" t="s">
        <v>2299</v>
      </c>
      <c r="E14" s="1852" t="s">
        <v>2293</v>
      </c>
      <c r="F14" s="1852" t="s">
        <v>2300</v>
      </c>
      <c r="G14" s="1852" t="s">
        <v>2294</v>
      </c>
      <c r="H14" s="1852" t="s">
        <v>22</v>
      </c>
      <c r="I14" s="1852" t="s">
        <v>808</v>
      </c>
    </row>
    <row customHeight="1" ht="11.25">
      <c r="A15" s="1852" t="s">
        <v>2246</v>
      </c>
      <c r="B15" s="1852" t="s">
        <v>16</v>
      </c>
      <c r="C15" s="1852" t="s">
        <v>2301</v>
      </c>
      <c r="D15" s="1852" t="s">
        <v>2302</v>
      </c>
      <c r="E15" s="1852" t="s">
        <v>2293</v>
      </c>
      <c r="F15" s="1852" t="s">
        <v>2303</v>
      </c>
      <c r="G15" s="1852" t="s">
        <v>2304</v>
      </c>
      <c r="H15" s="1852" t="s">
        <v>22</v>
      </c>
      <c r="I15" s="1852" t="s">
        <v>808</v>
      </c>
    </row>
    <row customHeight="1" ht="11.25">
      <c r="A16" s="1852" t="s">
        <v>2246</v>
      </c>
      <c r="B16" s="1852" t="s">
        <v>16</v>
      </c>
      <c r="C16" s="1852" t="s">
        <v>2305</v>
      </c>
      <c r="D16" s="1852" t="s">
        <v>2306</v>
      </c>
      <c r="E16" s="1852" t="s">
        <v>2307</v>
      </c>
      <c r="F16" s="1852" t="s">
        <v>2274</v>
      </c>
      <c r="G16" s="1852" t="s">
        <v>22</v>
      </c>
      <c r="H16" s="1852" t="s">
        <v>22</v>
      </c>
      <c r="I16" s="1852" t="s">
        <v>808</v>
      </c>
    </row>
    <row customHeight="1" ht="11.25">
      <c r="A17" s="1852" t="s">
        <v>2246</v>
      </c>
      <c r="B17" s="1852" t="s">
        <v>16</v>
      </c>
      <c r="C17" s="1852" t="s">
        <v>2308</v>
      </c>
      <c r="D17" s="1852" t="s">
        <v>2309</v>
      </c>
      <c r="E17" s="1852" t="s">
        <v>2310</v>
      </c>
      <c r="F17" s="1852" t="s">
        <v>2311</v>
      </c>
      <c r="G17" s="1852" t="s">
        <v>22</v>
      </c>
      <c r="H17" s="1852" t="s">
        <v>22</v>
      </c>
      <c r="I17" s="1852" t="s">
        <v>808</v>
      </c>
    </row>
    <row customHeight="1" ht="11.25">
      <c r="A18" s="1852" t="s">
        <v>2246</v>
      </c>
      <c r="B18" s="1852" t="s">
        <v>16</v>
      </c>
      <c r="C18" s="1852" t="s">
        <v>2312</v>
      </c>
      <c r="D18" s="1852" t="s">
        <v>2313</v>
      </c>
      <c r="E18" s="1852" t="s">
        <v>2314</v>
      </c>
      <c r="F18" s="1852" t="s">
        <v>2274</v>
      </c>
      <c r="G18" s="1852" t="s">
        <v>22</v>
      </c>
      <c r="H18" s="1852" t="s">
        <v>22</v>
      </c>
      <c r="I18" s="1852" t="s">
        <v>808</v>
      </c>
    </row>
    <row customHeight="1" ht="11.25">
      <c r="A19" s="1852" t="s">
        <v>2246</v>
      </c>
      <c r="B19" s="1852" t="s">
        <v>16</v>
      </c>
      <c r="C19" s="1852" t="s">
        <v>2315</v>
      </c>
      <c r="D19" s="1852" t="s">
        <v>2316</v>
      </c>
      <c r="E19" s="1852" t="s">
        <v>2317</v>
      </c>
      <c r="F19" s="1852" t="s">
        <v>2318</v>
      </c>
      <c r="G19" s="1852" t="s">
        <v>2319</v>
      </c>
      <c r="H19" s="1852" t="s">
        <v>22</v>
      </c>
      <c r="I19" s="1852" t="s">
        <v>808</v>
      </c>
    </row>
    <row customHeight="1" ht="11.25">
      <c r="A20" s="1852" t="s">
        <v>2246</v>
      </c>
      <c r="B20" s="1852" t="s">
        <v>16</v>
      </c>
      <c r="C20" s="1852" t="s">
        <v>2320</v>
      </c>
      <c r="D20" s="1852" t="s">
        <v>2321</v>
      </c>
      <c r="E20" s="1852" t="s">
        <v>2322</v>
      </c>
      <c r="F20" s="1852" t="s">
        <v>2311</v>
      </c>
      <c r="G20" s="1852" t="s">
        <v>22</v>
      </c>
      <c r="H20" s="1852" t="s">
        <v>22</v>
      </c>
      <c r="I20" s="1852" t="s">
        <v>808</v>
      </c>
    </row>
    <row customHeight="1" ht="11.25">
      <c r="A21" s="1852" t="s">
        <v>2246</v>
      </c>
      <c r="B21" s="1852" t="s">
        <v>16</v>
      </c>
      <c r="C21" s="1852" t="s">
        <v>2323</v>
      </c>
      <c r="D21" s="1852" t="s">
        <v>2324</v>
      </c>
      <c r="E21" s="1852" t="s">
        <v>2325</v>
      </c>
      <c r="F21" s="1852" t="s">
        <v>2326</v>
      </c>
      <c r="G21" s="1852" t="s">
        <v>22</v>
      </c>
      <c r="H21" s="1852" t="s">
        <v>22</v>
      </c>
      <c r="I21" s="1852" t="s">
        <v>808</v>
      </c>
    </row>
    <row customHeight="1" ht="11.25">
      <c r="A22" s="1852" t="s">
        <v>2246</v>
      </c>
      <c r="B22" s="1852" t="s">
        <v>16</v>
      </c>
      <c r="C22" s="1852" t="s">
        <v>2327</v>
      </c>
      <c r="D22" s="1852" t="s">
        <v>2328</v>
      </c>
      <c r="E22" s="1852" t="s">
        <v>2329</v>
      </c>
      <c r="F22" s="1852" t="s">
        <v>2274</v>
      </c>
      <c r="G22" s="1852" t="s">
        <v>22</v>
      </c>
      <c r="H22" s="1852" t="s">
        <v>22</v>
      </c>
      <c r="I22" s="1852" t="s">
        <v>808</v>
      </c>
    </row>
    <row customHeight="1" ht="11.25">
      <c r="A23" s="1852" t="s">
        <v>2246</v>
      </c>
      <c r="B23" s="1852" t="s">
        <v>16</v>
      </c>
      <c r="C23" s="1852" t="s">
        <v>2330</v>
      </c>
      <c r="D23" s="1852" t="s">
        <v>2331</v>
      </c>
      <c r="E23" s="1852" t="s">
        <v>2332</v>
      </c>
      <c r="F23" s="1852" t="s">
        <v>2333</v>
      </c>
      <c r="G23" s="1852" t="s">
        <v>2334</v>
      </c>
      <c r="H23" s="1852" t="s">
        <v>22</v>
      </c>
      <c r="I23" s="1852" t="s">
        <v>808</v>
      </c>
    </row>
    <row customHeight="1" ht="11.25">
      <c r="A24" s="1852" t="s">
        <v>2246</v>
      </c>
      <c r="B24" s="1852" t="s">
        <v>16</v>
      </c>
      <c r="C24" s="1852" t="s">
        <v>2335</v>
      </c>
      <c r="D24" s="1852" t="s">
        <v>2336</v>
      </c>
      <c r="E24" s="1852" t="s">
        <v>2337</v>
      </c>
      <c r="F24" s="1852" t="s">
        <v>2333</v>
      </c>
      <c r="G24" s="1852" t="s">
        <v>22</v>
      </c>
      <c r="H24" s="1852" t="s">
        <v>22</v>
      </c>
      <c r="I24" s="1852" t="s">
        <v>808</v>
      </c>
    </row>
    <row customHeight="1" ht="11.25">
      <c r="A25" s="1852" t="s">
        <v>2246</v>
      </c>
      <c r="B25" s="1852" t="s">
        <v>16</v>
      </c>
      <c r="C25" s="1852" t="s">
        <v>2338</v>
      </c>
      <c r="D25" s="1852" t="s">
        <v>2339</v>
      </c>
      <c r="E25" s="1852" t="s">
        <v>2340</v>
      </c>
      <c r="F25" s="1852" t="s">
        <v>2341</v>
      </c>
      <c r="G25" s="1852" t="s">
        <v>22</v>
      </c>
      <c r="H25" s="1852" t="s">
        <v>22</v>
      </c>
      <c r="I25" s="1852" t="s">
        <v>808</v>
      </c>
    </row>
    <row customHeight="1" ht="11.25">
      <c r="A26" s="1852" t="s">
        <v>2246</v>
      </c>
      <c r="B26" s="1852" t="s">
        <v>16</v>
      </c>
      <c r="C26" s="1852" t="s">
        <v>2342</v>
      </c>
      <c r="D26" s="1852" t="s">
        <v>2343</v>
      </c>
      <c r="E26" s="1852" t="s">
        <v>2344</v>
      </c>
      <c r="F26" s="1852" t="s">
        <v>2274</v>
      </c>
      <c r="G26" s="1852" t="s">
        <v>22</v>
      </c>
      <c r="H26" s="1852" t="s">
        <v>22</v>
      </c>
      <c r="I26" s="1852" t="s">
        <v>808</v>
      </c>
    </row>
    <row customHeight="1" ht="11.25">
      <c r="A27" s="1852" t="s">
        <v>2246</v>
      </c>
      <c r="B27" s="1852" t="s">
        <v>16</v>
      </c>
      <c r="C27" s="1852" t="s">
        <v>2345</v>
      </c>
      <c r="D27" s="1852" t="s">
        <v>2346</v>
      </c>
      <c r="E27" s="1852" t="s">
        <v>2347</v>
      </c>
      <c r="F27" s="1852" t="s">
        <v>2326</v>
      </c>
      <c r="G27" s="1852" t="s">
        <v>22</v>
      </c>
      <c r="H27" s="1852" t="s">
        <v>22</v>
      </c>
      <c r="I27" s="1852" t="s">
        <v>808</v>
      </c>
    </row>
    <row customHeight="1" ht="11.25">
      <c r="A28" s="1852" t="s">
        <v>2246</v>
      </c>
      <c r="B28" s="1852" t="s">
        <v>16</v>
      </c>
      <c r="C28" s="1852" t="s">
        <v>2348</v>
      </c>
      <c r="D28" s="1852" t="s">
        <v>2349</v>
      </c>
      <c r="E28" s="1852" t="s">
        <v>2350</v>
      </c>
      <c r="F28" s="1852" t="s">
        <v>2351</v>
      </c>
      <c r="G28" s="1852" t="s">
        <v>22</v>
      </c>
      <c r="H28" s="1852" t="s">
        <v>22</v>
      </c>
      <c r="I28" s="1852" t="s">
        <v>808</v>
      </c>
    </row>
    <row customHeight="1" ht="11.25">
      <c r="A29" s="1852" t="s">
        <v>2246</v>
      </c>
      <c r="B29" s="1852" t="s">
        <v>16</v>
      </c>
      <c r="C29" s="1852" t="s">
        <v>2352</v>
      </c>
      <c r="D29" s="1852" t="s">
        <v>2353</v>
      </c>
      <c r="E29" s="1852" t="s">
        <v>2354</v>
      </c>
      <c r="F29" s="1852" t="s">
        <v>2355</v>
      </c>
      <c r="G29" s="1852" t="s">
        <v>22</v>
      </c>
      <c r="H29" s="1852" t="s">
        <v>22</v>
      </c>
      <c r="I29" s="1852" t="s">
        <v>808</v>
      </c>
    </row>
    <row customHeight="1" ht="11.25">
      <c r="A30" s="1852" t="s">
        <v>2246</v>
      </c>
      <c r="B30" s="1852" t="s">
        <v>16</v>
      </c>
      <c r="C30" s="1852" t="s">
        <v>2356</v>
      </c>
      <c r="D30" s="1852" t="s">
        <v>2357</v>
      </c>
      <c r="E30" s="1852" t="s">
        <v>2358</v>
      </c>
      <c r="F30" s="1852" t="s">
        <v>2274</v>
      </c>
      <c r="G30" s="1852" t="s">
        <v>22</v>
      </c>
      <c r="H30" s="1852" t="s">
        <v>22</v>
      </c>
      <c r="I30" s="1852" t="s">
        <v>808</v>
      </c>
    </row>
    <row customHeight="1" ht="11.25">
      <c r="A31" s="1852" t="s">
        <v>2246</v>
      </c>
      <c r="B31" s="1852" t="s">
        <v>16</v>
      </c>
      <c r="C31" s="1852" t="s">
        <v>2359</v>
      </c>
      <c r="D31" s="1852" t="s">
        <v>2360</v>
      </c>
      <c r="E31" s="1852" t="s">
        <v>2361</v>
      </c>
      <c r="F31" s="1852" t="s">
        <v>2333</v>
      </c>
      <c r="G31" s="1852" t="s">
        <v>22</v>
      </c>
      <c r="H31" s="1852" t="s">
        <v>22</v>
      </c>
      <c r="I31" s="1852" t="s">
        <v>808</v>
      </c>
    </row>
    <row customHeight="1" ht="11.25">
      <c r="A32" s="1852" t="s">
        <v>2246</v>
      </c>
      <c r="B32" s="1852" t="s">
        <v>16</v>
      </c>
      <c r="C32" s="1852" t="s">
        <v>2362</v>
      </c>
      <c r="D32" s="1852" t="s">
        <v>2363</v>
      </c>
      <c r="E32" s="1852" t="s">
        <v>2364</v>
      </c>
      <c r="F32" s="1852" t="s">
        <v>2365</v>
      </c>
      <c r="G32" s="1852" t="s">
        <v>22</v>
      </c>
      <c r="H32" s="1852" t="s">
        <v>22</v>
      </c>
      <c r="I32" s="1852" t="s">
        <v>808</v>
      </c>
    </row>
    <row customHeight="1" ht="11.25">
      <c r="A33" s="1852" t="s">
        <v>2246</v>
      </c>
      <c r="B33" s="1852" t="s">
        <v>16</v>
      </c>
      <c r="C33" s="1852" t="s">
        <v>2366</v>
      </c>
      <c r="D33" s="1852" t="s">
        <v>2367</v>
      </c>
      <c r="E33" s="1852" t="s">
        <v>2368</v>
      </c>
      <c r="F33" s="1852" t="s">
        <v>2369</v>
      </c>
      <c r="G33" s="1852" t="s">
        <v>22</v>
      </c>
      <c r="H33" s="1852" t="s">
        <v>22</v>
      </c>
      <c r="I33" s="1852" t="s">
        <v>808</v>
      </c>
    </row>
    <row customHeight="1" ht="11.25">
      <c r="A34" s="1852" t="s">
        <v>2246</v>
      </c>
      <c r="B34" s="1852" t="s">
        <v>16</v>
      </c>
      <c r="C34" s="1852" t="s">
        <v>2370</v>
      </c>
      <c r="D34" s="1852" t="s">
        <v>2371</v>
      </c>
      <c r="E34" s="1852" t="s">
        <v>2372</v>
      </c>
      <c r="F34" s="1852" t="s">
        <v>2373</v>
      </c>
      <c r="G34" s="1852" t="s">
        <v>2374</v>
      </c>
      <c r="H34" s="1852" t="s">
        <v>22</v>
      </c>
      <c r="I34" s="1852" t="s">
        <v>808</v>
      </c>
    </row>
    <row customHeight="1" ht="11.25">
      <c r="A35" s="1852" t="s">
        <v>2246</v>
      </c>
      <c r="B35" s="1852" t="s">
        <v>16</v>
      </c>
      <c r="C35" s="1852" t="s">
        <v>2375</v>
      </c>
      <c r="D35" s="1852" t="s">
        <v>2376</v>
      </c>
      <c r="E35" s="1852" t="s">
        <v>2377</v>
      </c>
      <c r="F35" s="1852" t="s">
        <v>2259</v>
      </c>
      <c r="G35" s="1852" t="s">
        <v>22</v>
      </c>
      <c r="H35" s="1852" t="s">
        <v>2255</v>
      </c>
      <c r="I35" s="1852" t="s">
        <v>808</v>
      </c>
    </row>
    <row customHeight="1" ht="11.25">
      <c r="A36" s="1852" t="s">
        <v>2246</v>
      </c>
      <c r="B36" s="1852" t="s">
        <v>16</v>
      </c>
      <c r="C36" s="1852" t="s">
        <v>2378</v>
      </c>
      <c r="D36" s="1852" t="s">
        <v>2379</v>
      </c>
      <c r="E36" s="1852" t="s">
        <v>2380</v>
      </c>
      <c r="F36" s="1852" t="s">
        <v>2259</v>
      </c>
      <c r="G36" s="1852" t="s">
        <v>2381</v>
      </c>
      <c r="H36" s="1852" t="s">
        <v>2382</v>
      </c>
      <c r="I36" s="1852" t="s">
        <v>808</v>
      </c>
    </row>
    <row customHeight="1" ht="11.25">
      <c r="A37" s="1852" t="s">
        <v>2246</v>
      </c>
      <c r="B37" s="1852" t="s">
        <v>16</v>
      </c>
      <c r="C37" s="1852" t="s">
        <v>2383</v>
      </c>
      <c r="D37" s="1852" t="s">
        <v>2384</v>
      </c>
      <c r="E37" s="1852" t="s">
        <v>2385</v>
      </c>
      <c r="F37" s="1852" t="s">
        <v>2351</v>
      </c>
      <c r="G37" s="1852" t="s">
        <v>22</v>
      </c>
      <c r="H37" s="1852" t="s">
        <v>22</v>
      </c>
      <c r="I37" s="1852" t="s">
        <v>808</v>
      </c>
    </row>
    <row customHeight="1" ht="11.25">
      <c r="A38" s="1852" t="s">
        <v>2246</v>
      </c>
      <c r="B38" s="1852" t="s">
        <v>16</v>
      </c>
      <c r="C38" s="1852" t="s">
        <v>2386</v>
      </c>
      <c r="D38" s="1852" t="s">
        <v>2387</v>
      </c>
      <c r="E38" s="1852" t="s">
        <v>2388</v>
      </c>
      <c r="F38" s="1852" t="s">
        <v>2259</v>
      </c>
      <c r="G38" s="1852" t="s">
        <v>22</v>
      </c>
      <c r="H38" s="1852" t="s">
        <v>22</v>
      </c>
      <c r="I38" s="1852" t="s">
        <v>808</v>
      </c>
    </row>
    <row customHeight="1" ht="11.25">
      <c r="A39" s="1852" t="s">
        <v>2246</v>
      </c>
      <c r="B39" s="1852" t="s">
        <v>16</v>
      </c>
      <c r="C39" s="1852" t="s">
        <v>2389</v>
      </c>
      <c r="D39" s="1852" t="s">
        <v>2390</v>
      </c>
      <c r="E39" s="1852" t="s">
        <v>2391</v>
      </c>
      <c r="F39" s="1852" t="s">
        <v>2392</v>
      </c>
      <c r="G39" s="1852" t="s">
        <v>22</v>
      </c>
      <c r="H39" s="1852" t="s">
        <v>22</v>
      </c>
      <c r="I39" s="1852" t="s">
        <v>808</v>
      </c>
    </row>
    <row customHeight="1" ht="11.25">
      <c r="A40" s="1852" t="s">
        <v>2246</v>
      </c>
      <c r="B40" s="1852" t="s">
        <v>16</v>
      </c>
      <c r="C40" s="1852" t="s">
        <v>2393</v>
      </c>
      <c r="D40" s="1852" t="s">
        <v>2394</v>
      </c>
      <c r="E40" s="1852" t="s">
        <v>2395</v>
      </c>
      <c r="F40" s="1852" t="s">
        <v>2259</v>
      </c>
      <c r="G40" s="1852" t="s">
        <v>2396</v>
      </c>
      <c r="H40" s="1852" t="s">
        <v>22</v>
      </c>
      <c r="I40" s="1852" t="s">
        <v>808</v>
      </c>
    </row>
    <row customHeight="1" ht="11.25">
      <c r="A41" s="1852" t="s">
        <v>2246</v>
      </c>
      <c r="B41" s="1852" t="s">
        <v>16</v>
      </c>
      <c r="C41" s="1852" t="s">
        <v>2397</v>
      </c>
      <c r="D41" s="1852" t="s">
        <v>2398</v>
      </c>
      <c r="E41" s="1852" t="s">
        <v>2399</v>
      </c>
      <c r="F41" s="1852" t="s">
        <v>2333</v>
      </c>
      <c r="G41" s="1852" t="s">
        <v>22</v>
      </c>
      <c r="H41" s="1852" t="s">
        <v>22</v>
      </c>
      <c r="I41" s="1852" t="s">
        <v>808</v>
      </c>
    </row>
    <row customHeight="1" ht="11.25">
      <c r="A42" s="1852" t="s">
        <v>2246</v>
      </c>
      <c r="B42" s="1852" t="s">
        <v>16</v>
      </c>
      <c r="C42" s="1852" t="s">
        <v>2400</v>
      </c>
      <c r="D42" s="1852" t="s">
        <v>2401</v>
      </c>
      <c r="E42" s="1852" t="s">
        <v>2402</v>
      </c>
      <c r="F42" s="1852" t="s">
        <v>2333</v>
      </c>
      <c r="G42" s="1852" t="s">
        <v>2403</v>
      </c>
      <c r="H42" s="1852" t="s">
        <v>22</v>
      </c>
      <c r="I42" s="1852" t="s">
        <v>808</v>
      </c>
    </row>
    <row customHeight="1" ht="11.25">
      <c r="A43" s="1852" t="s">
        <v>2246</v>
      </c>
      <c r="B43" s="1852" t="s">
        <v>16</v>
      </c>
      <c r="C43" s="1852" t="s">
        <v>2404</v>
      </c>
      <c r="D43" s="1852" t="s">
        <v>2405</v>
      </c>
      <c r="E43" s="1852" t="s">
        <v>2406</v>
      </c>
      <c r="F43" s="1852" t="s">
        <v>2369</v>
      </c>
      <c r="G43" s="1852" t="s">
        <v>22</v>
      </c>
      <c r="H43" s="1852" t="s">
        <v>2407</v>
      </c>
      <c r="I43" s="1852" t="s">
        <v>808</v>
      </c>
    </row>
    <row customHeight="1" ht="11.25">
      <c r="A44" s="1852" t="s">
        <v>2246</v>
      </c>
      <c r="B44" s="1852" t="s">
        <v>16</v>
      </c>
      <c r="C44" s="1852" t="s">
        <v>2408</v>
      </c>
      <c r="D44" s="1852" t="s">
        <v>2409</v>
      </c>
      <c r="E44" s="1852" t="s">
        <v>2410</v>
      </c>
      <c r="F44" s="1852" t="s">
        <v>2333</v>
      </c>
      <c r="G44" s="1852" t="s">
        <v>22</v>
      </c>
      <c r="H44" s="1852" t="s">
        <v>22</v>
      </c>
      <c r="I44" s="1852" t="s">
        <v>808</v>
      </c>
    </row>
    <row customHeight="1" ht="11.25">
      <c r="A45" s="1852" t="s">
        <v>2246</v>
      </c>
      <c r="B45" s="1852" t="s">
        <v>16</v>
      </c>
      <c r="C45" s="1852" t="s">
        <v>2411</v>
      </c>
      <c r="D45" s="1852" t="s">
        <v>2412</v>
      </c>
      <c r="E45" s="1852" t="s">
        <v>2413</v>
      </c>
      <c r="F45" s="1852" t="s">
        <v>2414</v>
      </c>
      <c r="G45" s="1852" t="s">
        <v>22</v>
      </c>
      <c r="H45" s="1852" t="s">
        <v>22</v>
      </c>
      <c r="I45" s="1852" t="s">
        <v>808</v>
      </c>
    </row>
    <row customHeight="1" ht="11.25">
      <c r="A46" s="1852" t="s">
        <v>2246</v>
      </c>
      <c r="B46" s="1852" t="s">
        <v>16</v>
      </c>
      <c r="C46" s="1852" t="s">
        <v>2415</v>
      </c>
      <c r="D46" s="1852" t="s">
        <v>2416</v>
      </c>
      <c r="E46" s="1852" t="s">
        <v>2417</v>
      </c>
      <c r="F46" s="1852" t="s">
        <v>2418</v>
      </c>
      <c r="G46" s="1852" t="s">
        <v>22</v>
      </c>
      <c r="H46" s="1852" t="s">
        <v>22</v>
      </c>
      <c r="I46" s="1852" t="s">
        <v>808</v>
      </c>
    </row>
    <row customHeight="1" ht="11.25">
      <c r="A47" s="1852" t="s">
        <v>2246</v>
      </c>
      <c r="B47" s="1852" t="s">
        <v>16</v>
      </c>
      <c r="C47" s="1852" t="s">
        <v>2419</v>
      </c>
      <c r="D47" s="1852" t="s">
        <v>2420</v>
      </c>
      <c r="E47" s="1852" t="s">
        <v>2421</v>
      </c>
      <c r="F47" s="1852" t="s">
        <v>2422</v>
      </c>
      <c r="G47" s="1852" t="s">
        <v>22</v>
      </c>
      <c r="H47" s="1852" t="s">
        <v>22</v>
      </c>
      <c r="I47" s="1852" t="s">
        <v>808</v>
      </c>
    </row>
    <row customHeight="1" ht="11.25">
      <c r="A48" s="1852" t="s">
        <v>2246</v>
      </c>
      <c r="B48" s="1852" t="s">
        <v>16</v>
      </c>
      <c r="C48" s="1852" t="s">
        <v>2423</v>
      </c>
      <c r="D48" s="1852" t="s">
        <v>2424</v>
      </c>
      <c r="E48" s="1852" t="s">
        <v>2425</v>
      </c>
      <c r="F48" s="1852" t="s">
        <v>51</v>
      </c>
      <c r="G48" s="1852" t="s">
        <v>22</v>
      </c>
      <c r="H48" s="1852" t="s">
        <v>22</v>
      </c>
      <c r="I48" s="1852" t="s">
        <v>808</v>
      </c>
    </row>
    <row customHeight="1" ht="11.25">
      <c r="A49" s="1852" t="s">
        <v>2246</v>
      </c>
      <c r="B49" s="1852" t="s">
        <v>16</v>
      </c>
      <c r="C49" s="1852" t="s">
        <v>2426</v>
      </c>
      <c r="D49" s="1852" t="s">
        <v>2427</v>
      </c>
      <c r="E49" s="1852" t="s">
        <v>2417</v>
      </c>
      <c r="F49" s="1852" t="s">
        <v>2428</v>
      </c>
      <c r="G49" s="1852" t="s">
        <v>22</v>
      </c>
      <c r="H49" s="1852" t="s">
        <v>22</v>
      </c>
      <c r="I49" s="1852" t="s">
        <v>808</v>
      </c>
    </row>
    <row customHeight="1" ht="11.25">
      <c r="A50" s="1852" t="s">
        <v>2246</v>
      </c>
      <c r="B50" s="1852" t="s">
        <v>16</v>
      </c>
      <c r="C50" s="1852" t="s">
        <v>2429</v>
      </c>
      <c r="D50" s="1852" t="s">
        <v>2430</v>
      </c>
      <c r="E50" s="1852" t="s">
        <v>2431</v>
      </c>
      <c r="F50" s="1852" t="s">
        <v>2432</v>
      </c>
      <c r="G50" s="1852" t="s">
        <v>2433</v>
      </c>
      <c r="H50" s="1852" t="s">
        <v>22</v>
      </c>
      <c r="I50" s="1852" t="s">
        <v>808</v>
      </c>
    </row>
    <row customHeight="1" ht="11.25">
      <c r="A51" s="1852" t="s">
        <v>2246</v>
      </c>
      <c r="B51" s="1852" t="s">
        <v>16</v>
      </c>
      <c r="C51" s="1852" t="s">
        <v>2434</v>
      </c>
      <c r="D51" s="1852" t="s">
        <v>2435</v>
      </c>
      <c r="E51" s="1852" t="s">
        <v>2436</v>
      </c>
      <c r="F51" s="1852" t="s">
        <v>2437</v>
      </c>
      <c r="G51" s="1852" t="s">
        <v>22</v>
      </c>
      <c r="H51" s="1852" t="s">
        <v>22</v>
      </c>
      <c r="I51" s="1852" t="s">
        <v>808</v>
      </c>
    </row>
    <row customHeight="1" ht="11.25">
      <c r="A52" s="1852" t="s">
        <v>2246</v>
      </c>
      <c r="B52" s="1852" t="s">
        <v>16</v>
      </c>
      <c r="C52" s="1852" t="s">
        <v>2438</v>
      </c>
      <c r="D52" s="1852" t="s">
        <v>2439</v>
      </c>
      <c r="E52" s="1852" t="s">
        <v>2436</v>
      </c>
      <c r="F52" s="1852" t="s">
        <v>2274</v>
      </c>
      <c r="G52" s="1852" t="s">
        <v>22</v>
      </c>
      <c r="H52" s="1852" t="s">
        <v>22</v>
      </c>
      <c r="I52" s="1852" t="s">
        <v>808</v>
      </c>
    </row>
    <row customHeight="1" ht="11.25">
      <c r="A53" s="1852" t="s">
        <v>2246</v>
      </c>
      <c r="B53" s="1852" t="s">
        <v>16</v>
      </c>
      <c r="C53" s="1852" t="s">
        <v>22</v>
      </c>
      <c r="D53" s="1852" t="s">
        <v>2440</v>
      </c>
      <c r="E53" s="1852" t="s">
        <v>2441</v>
      </c>
      <c r="F53" s="1852" t="s">
        <v>2274</v>
      </c>
      <c r="G53" s="1852" t="s">
        <v>22</v>
      </c>
      <c r="H53" s="1852" t="s">
        <v>22</v>
      </c>
      <c r="I53" s="1852" t="s">
        <v>808</v>
      </c>
    </row>
    <row customHeight="1" ht="11.25">
      <c r="A54" s="1852" t="s">
        <v>2246</v>
      </c>
      <c r="B54" s="1852" t="s">
        <v>16</v>
      </c>
      <c r="C54" s="1852" t="s">
        <v>2442</v>
      </c>
      <c r="D54" s="1852" t="s">
        <v>2443</v>
      </c>
      <c r="E54" s="1852" t="s">
        <v>2417</v>
      </c>
      <c r="F54" s="1852" t="s">
        <v>2341</v>
      </c>
      <c r="G54" s="1852" t="s">
        <v>22</v>
      </c>
      <c r="H54" s="1852" t="s">
        <v>22</v>
      </c>
      <c r="I54" s="1852" t="s">
        <v>808</v>
      </c>
    </row>
    <row customHeight="1" ht="11.25">
      <c r="A55" s="1852" t="s">
        <v>2246</v>
      </c>
      <c r="B55" s="1852" t="s">
        <v>16</v>
      </c>
      <c r="C55" s="1852" t="s">
        <v>2444</v>
      </c>
      <c r="D55" s="1852" t="s">
        <v>2445</v>
      </c>
      <c r="E55" s="1852" t="s">
        <v>2446</v>
      </c>
      <c r="F55" s="1852" t="s">
        <v>575</v>
      </c>
      <c r="G55" s="1852" t="s">
        <v>2447</v>
      </c>
      <c r="H55" s="1852" t="s">
        <v>22</v>
      </c>
      <c r="I55" s="1852" t="s">
        <v>808</v>
      </c>
    </row>
    <row customHeight="1" ht="11.25">
      <c r="A56" s="1852" t="s">
        <v>2246</v>
      </c>
      <c r="B56" s="1852" t="s">
        <v>16</v>
      </c>
      <c r="C56" s="1852" t="s">
        <v>2448</v>
      </c>
      <c r="D56" s="1852" t="s">
        <v>2449</v>
      </c>
      <c r="E56" s="1852" t="s">
        <v>2450</v>
      </c>
      <c r="F56" s="1852" t="s">
        <v>575</v>
      </c>
      <c r="G56" s="1852" t="s">
        <v>2451</v>
      </c>
      <c r="H56" s="1852" t="s">
        <v>22</v>
      </c>
      <c r="I56" s="1852" t="s">
        <v>808</v>
      </c>
    </row>
    <row customHeight="1" ht="11.25">
      <c r="A57" s="1852" t="s">
        <v>2246</v>
      </c>
      <c r="B57" s="1852" t="s">
        <v>16</v>
      </c>
      <c r="C57" s="1852" t="s">
        <v>2452</v>
      </c>
      <c r="D57" s="1852" t="s">
        <v>2453</v>
      </c>
      <c r="E57" s="1852" t="s">
        <v>2454</v>
      </c>
      <c r="F57" s="1852" t="s">
        <v>575</v>
      </c>
      <c r="G57" s="1852" t="s">
        <v>22</v>
      </c>
      <c r="H57" s="1852" t="s">
        <v>22</v>
      </c>
      <c r="I57" s="1852" t="s">
        <v>808</v>
      </c>
    </row>
    <row customHeight="1" ht="11.25">
      <c r="A58" s="1852" t="s">
        <v>2246</v>
      </c>
      <c r="B58" s="1852" t="s">
        <v>16</v>
      </c>
      <c r="C58" s="1852" t="s">
        <v>2455</v>
      </c>
      <c r="D58" s="1852" t="s">
        <v>2456</v>
      </c>
      <c r="E58" s="1852" t="s">
        <v>2457</v>
      </c>
      <c r="F58" s="1852" t="s">
        <v>575</v>
      </c>
      <c r="G58" s="1852" t="s">
        <v>2458</v>
      </c>
      <c r="H58" s="1852" t="s">
        <v>22</v>
      </c>
      <c r="I58" s="1852" t="s">
        <v>808</v>
      </c>
    </row>
    <row customHeight="1" ht="11.25">
      <c r="A59" s="1852" t="s">
        <v>2246</v>
      </c>
      <c r="B59" s="1852" t="s">
        <v>16</v>
      </c>
      <c r="C59" s="1852" t="s">
        <v>2459</v>
      </c>
      <c r="D59" s="1852" t="s">
        <v>2460</v>
      </c>
      <c r="E59" s="1852" t="s">
        <v>2461</v>
      </c>
      <c r="F59" s="1852" t="s">
        <v>575</v>
      </c>
      <c r="G59" s="1852" t="s">
        <v>2462</v>
      </c>
      <c r="H59" s="1852" t="s">
        <v>22</v>
      </c>
      <c r="I59" s="1852" t="s">
        <v>808</v>
      </c>
    </row>
    <row customHeight="1" ht="11.25">
      <c r="A60" s="1852" t="s">
        <v>2246</v>
      </c>
      <c r="B60" s="1852" t="s">
        <v>16</v>
      </c>
      <c r="C60" s="1852" t="s">
        <v>2463</v>
      </c>
      <c r="D60" s="1852" t="s">
        <v>2464</v>
      </c>
      <c r="E60" s="1852" t="s">
        <v>2465</v>
      </c>
      <c r="F60" s="1852" t="s">
        <v>575</v>
      </c>
      <c r="G60" s="1852" t="s">
        <v>22</v>
      </c>
      <c r="H60" s="1852" t="s">
        <v>22</v>
      </c>
      <c r="I60" s="1852" t="s">
        <v>808</v>
      </c>
    </row>
    <row customHeight="1" ht="11.25">
      <c r="A61" s="1852" t="s">
        <v>2246</v>
      </c>
      <c r="B61" s="1852" t="s">
        <v>16</v>
      </c>
      <c r="C61" s="1852" t="s">
        <v>2466</v>
      </c>
      <c r="D61" s="1852" t="s">
        <v>2467</v>
      </c>
      <c r="E61" s="1852" t="s">
        <v>2413</v>
      </c>
      <c r="F61" s="1852" t="s">
        <v>2392</v>
      </c>
      <c r="G61" s="1852" t="s">
        <v>22</v>
      </c>
      <c r="H61" s="1852" t="s">
        <v>22</v>
      </c>
      <c r="I61" s="1852" t="s">
        <v>808</v>
      </c>
    </row>
    <row customHeight="1" ht="11.25">
      <c r="A62" s="1852" t="s">
        <v>2246</v>
      </c>
      <c r="B62" s="1852" t="s">
        <v>16</v>
      </c>
      <c r="C62" s="1852" t="s">
        <v>2468</v>
      </c>
      <c r="D62" s="1852" t="s">
        <v>2469</v>
      </c>
      <c r="E62" s="1852" t="s">
        <v>2470</v>
      </c>
      <c r="F62" s="1852" t="s">
        <v>2250</v>
      </c>
      <c r="G62" s="1852" t="s">
        <v>22</v>
      </c>
      <c r="H62" s="1852" t="s">
        <v>22</v>
      </c>
      <c r="I62" s="1852" t="s">
        <v>808</v>
      </c>
    </row>
    <row customHeight="1" ht="11.25">
      <c r="A63" s="1852" t="s">
        <v>2246</v>
      </c>
      <c r="B63" s="1852" t="s">
        <v>16</v>
      </c>
      <c r="C63" s="1852" t="s">
        <v>2471</v>
      </c>
      <c r="D63" s="1852" t="s">
        <v>2472</v>
      </c>
      <c r="E63" s="1852" t="s">
        <v>2473</v>
      </c>
      <c r="F63" s="1852" t="s">
        <v>2250</v>
      </c>
      <c r="G63" s="1852" t="s">
        <v>22</v>
      </c>
      <c r="H63" s="1852" t="s">
        <v>22</v>
      </c>
      <c r="I63" s="1852" t="s">
        <v>808</v>
      </c>
    </row>
    <row customHeight="1" ht="11.25">
      <c r="A64" s="1852" t="s">
        <v>2246</v>
      </c>
      <c r="B64" s="1852" t="s">
        <v>16</v>
      </c>
      <c r="C64" s="1852" t="s">
        <v>2474</v>
      </c>
      <c r="D64" s="1852" t="s">
        <v>2475</v>
      </c>
      <c r="E64" s="1852" t="s">
        <v>2476</v>
      </c>
      <c r="F64" s="1852" t="s">
        <v>2477</v>
      </c>
      <c r="G64" s="1852" t="s">
        <v>2478</v>
      </c>
      <c r="H64" s="1852" t="s">
        <v>22</v>
      </c>
      <c r="I64" s="1852" t="s">
        <v>808</v>
      </c>
    </row>
    <row customHeight="1" ht="11.25">
      <c r="A65" s="1852" t="s">
        <v>2246</v>
      </c>
      <c r="B65" s="1852" t="s">
        <v>16</v>
      </c>
      <c r="C65" s="1852" t="s">
        <v>2479</v>
      </c>
      <c r="D65" s="1852" t="s">
        <v>2480</v>
      </c>
      <c r="E65" s="1852" t="s">
        <v>2481</v>
      </c>
      <c r="F65" s="1852" t="s">
        <v>2369</v>
      </c>
      <c r="G65" s="1852" t="s">
        <v>22</v>
      </c>
      <c r="H65" s="1852" t="s">
        <v>2407</v>
      </c>
      <c r="I65" s="1852" t="s">
        <v>808</v>
      </c>
    </row>
    <row customHeight="1" ht="11.25">
      <c r="A66" s="1852" t="s">
        <v>2246</v>
      </c>
      <c r="B66" s="1852" t="s">
        <v>16</v>
      </c>
      <c r="C66" s="1852" t="s">
        <v>2482</v>
      </c>
      <c r="D66" s="1852" t="s">
        <v>2483</v>
      </c>
      <c r="E66" s="1852" t="s">
        <v>2484</v>
      </c>
      <c r="F66" s="1852" t="s">
        <v>2369</v>
      </c>
      <c r="G66" s="1852" t="s">
        <v>22</v>
      </c>
      <c r="H66" s="1852" t="s">
        <v>2407</v>
      </c>
      <c r="I66" s="1852" t="s">
        <v>808</v>
      </c>
    </row>
    <row customHeight="1" ht="11.25">
      <c r="A67" s="1852" t="s">
        <v>2246</v>
      </c>
      <c r="B67" s="1852" t="s">
        <v>16</v>
      </c>
      <c r="C67" s="1852" t="s">
        <v>2485</v>
      </c>
      <c r="D67" s="1852" t="s">
        <v>2486</v>
      </c>
      <c r="E67" s="1852" t="s">
        <v>2487</v>
      </c>
      <c r="F67" s="1852" t="s">
        <v>2369</v>
      </c>
      <c r="G67" s="1852" t="s">
        <v>22</v>
      </c>
      <c r="H67" s="1852" t="s">
        <v>2407</v>
      </c>
      <c r="I67" s="1852" t="s">
        <v>808</v>
      </c>
    </row>
    <row customHeight="1" ht="11.25">
      <c r="A68" s="1852" t="s">
        <v>2246</v>
      </c>
      <c r="B68" s="1852" t="s">
        <v>16</v>
      </c>
      <c r="C68" s="1852" t="s">
        <v>2488</v>
      </c>
      <c r="D68" s="1852" t="s">
        <v>2489</v>
      </c>
      <c r="E68" s="1852" t="s">
        <v>2490</v>
      </c>
      <c r="F68" s="1852" t="s">
        <v>2369</v>
      </c>
      <c r="G68" s="1852" t="s">
        <v>22</v>
      </c>
      <c r="H68" s="1852" t="s">
        <v>2407</v>
      </c>
      <c r="I68" s="1852" t="s">
        <v>808</v>
      </c>
    </row>
    <row customHeight="1" ht="11.25">
      <c r="A69" s="1852" t="s">
        <v>2246</v>
      </c>
      <c r="B69" s="1852" t="s">
        <v>16</v>
      </c>
      <c r="C69" s="1852" t="s">
        <v>2491</v>
      </c>
      <c r="D69" s="1852" t="s">
        <v>2492</v>
      </c>
      <c r="E69" s="1852" t="s">
        <v>2493</v>
      </c>
      <c r="F69" s="1852" t="s">
        <v>2494</v>
      </c>
      <c r="G69" s="1852" t="s">
        <v>22</v>
      </c>
      <c r="H69" s="1852" t="s">
        <v>22</v>
      </c>
      <c r="I69" s="1852" t="s">
        <v>808</v>
      </c>
    </row>
    <row customHeight="1" ht="11.25">
      <c r="A70" s="1852" t="s">
        <v>2246</v>
      </c>
      <c r="B70" s="1852" t="s">
        <v>16</v>
      </c>
      <c r="C70" s="1852" t="s">
        <v>2495</v>
      </c>
      <c r="D70" s="1852" t="s">
        <v>2496</v>
      </c>
      <c r="E70" s="1852" t="s">
        <v>2497</v>
      </c>
      <c r="F70" s="1852" t="s">
        <v>2369</v>
      </c>
      <c r="G70" s="1852" t="s">
        <v>2498</v>
      </c>
      <c r="H70" s="1852" t="s">
        <v>22</v>
      </c>
      <c r="I70" s="1852" t="s">
        <v>808</v>
      </c>
    </row>
    <row customHeight="1" ht="11.25">
      <c r="A71" s="1852" t="s">
        <v>2246</v>
      </c>
      <c r="B71" s="1852" t="s">
        <v>16</v>
      </c>
      <c r="C71" s="1852" t="s">
        <v>2499</v>
      </c>
      <c r="D71" s="1852" t="s">
        <v>2500</v>
      </c>
      <c r="E71" s="1852" t="s">
        <v>2501</v>
      </c>
      <c r="F71" s="1852" t="s">
        <v>2326</v>
      </c>
      <c r="G71" s="1852" t="s">
        <v>2478</v>
      </c>
      <c r="H71" s="1852" t="s">
        <v>22</v>
      </c>
      <c r="I71" s="1852" t="s">
        <v>808</v>
      </c>
    </row>
    <row customHeight="1" ht="11.25">
      <c r="A72" s="1852" t="s">
        <v>2246</v>
      </c>
      <c r="B72" s="1852" t="s">
        <v>16</v>
      </c>
      <c r="C72" s="1852" t="s">
        <v>2502</v>
      </c>
      <c r="D72" s="1852" t="s">
        <v>2503</v>
      </c>
      <c r="E72" s="1852" t="s">
        <v>2504</v>
      </c>
      <c r="F72" s="1852" t="s">
        <v>2259</v>
      </c>
      <c r="G72" s="1852" t="s">
        <v>22</v>
      </c>
      <c r="H72" s="1852" t="s">
        <v>22</v>
      </c>
      <c r="I72" s="1852" t="s">
        <v>808</v>
      </c>
    </row>
    <row customHeight="1" ht="11.25">
      <c r="A73" s="1852" t="s">
        <v>2246</v>
      </c>
      <c r="B73" s="1852" t="s">
        <v>16</v>
      </c>
      <c r="C73" s="1852" t="s">
        <v>2505</v>
      </c>
      <c r="D73" s="1852" t="s">
        <v>2506</v>
      </c>
      <c r="E73" s="1852" t="s">
        <v>2507</v>
      </c>
      <c r="F73" s="1852" t="s">
        <v>2341</v>
      </c>
      <c r="G73" s="1852" t="s">
        <v>22</v>
      </c>
      <c r="H73" s="1852" t="s">
        <v>22</v>
      </c>
      <c r="I73" s="1852" t="s">
        <v>808</v>
      </c>
    </row>
    <row customHeight="1" ht="11.25">
      <c r="A74" s="1852" t="s">
        <v>2246</v>
      </c>
      <c r="B74" s="1852" t="s">
        <v>16</v>
      </c>
      <c r="C74" s="1852" t="s">
        <v>2508</v>
      </c>
      <c r="D74" s="1852" t="s">
        <v>2509</v>
      </c>
      <c r="E74" s="1852" t="s">
        <v>2510</v>
      </c>
      <c r="F74" s="1852" t="s">
        <v>2250</v>
      </c>
      <c r="G74" s="1852" t="s">
        <v>2511</v>
      </c>
      <c r="H74" s="1852" t="s">
        <v>22</v>
      </c>
      <c r="I74" s="1852" t="s">
        <v>808</v>
      </c>
    </row>
    <row customHeight="1" ht="11.25">
      <c r="A75" s="1852" t="s">
        <v>2246</v>
      </c>
      <c r="B75" s="1852" t="s">
        <v>16</v>
      </c>
      <c r="C75" s="1852" t="s">
        <v>2512</v>
      </c>
      <c r="D75" s="1852" t="s">
        <v>2513</v>
      </c>
      <c r="E75" s="1852" t="s">
        <v>2514</v>
      </c>
      <c r="F75" s="1852" t="s">
        <v>2515</v>
      </c>
      <c r="G75" s="1852" t="s">
        <v>2516</v>
      </c>
      <c r="H75" s="1852" t="s">
        <v>22</v>
      </c>
      <c r="I75" s="1852" t="s">
        <v>808</v>
      </c>
    </row>
    <row customHeight="1" ht="11.25">
      <c r="A76" s="1852" t="s">
        <v>2246</v>
      </c>
      <c r="B76" s="1852" t="s">
        <v>16</v>
      </c>
      <c r="C76" s="1852" t="s">
        <v>2517</v>
      </c>
      <c r="D76" s="1852" t="s">
        <v>2518</v>
      </c>
      <c r="E76" s="1852" t="s">
        <v>2519</v>
      </c>
      <c r="F76" s="1852" t="s">
        <v>2341</v>
      </c>
      <c r="G76" s="1852" t="s">
        <v>2520</v>
      </c>
      <c r="H76" s="1852" t="s">
        <v>22</v>
      </c>
      <c r="I76" s="1852" t="s">
        <v>808</v>
      </c>
    </row>
    <row customHeight="1" ht="11.25">
      <c r="A77" s="1852" t="s">
        <v>2246</v>
      </c>
      <c r="B77" s="1852" t="s">
        <v>16</v>
      </c>
      <c r="C77" s="1852" t="s">
        <v>2521</v>
      </c>
      <c r="D77" s="1852" t="s">
        <v>2522</v>
      </c>
      <c r="E77" s="1852" t="s">
        <v>2523</v>
      </c>
      <c r="F77" s="1852" t="s">
        <v>2524</v>
      </c>
      <c r="G77" s="1852" t="s">
        <v>22</v>
      </c>
      <c r="H77" s="1852" t="s">
        <v>22</v>
      </c>
      <c r="I77" s="1852" t="s">
        <v>808</v>
      </c>
    </row>
    <row customHeight="1" ht="11.25">
      <c r="A78" s="1852" t="s">
        <v>2246</v>
      </c>
      <c r="B78" s="1852" t="s">
        <v>16</v>
      </c>
      <c r="C78" s="1852" t="s">
        <v>2525</v>
      </c>
      <c r="D78" s="1852" t="s">
        <v>2526</v>
      </c>
      <c r="E78" s="1852" t="s">
        <v>2527</v>
      </c>
      <c r="F78" s="1852" t="s">
        <v>2250</v>
      </c>
      <c r="G78" s="1852" t="s">
        <v>22</v>
      </c>
      <c r="H78" s="1852" t="s">
        <v>22</v>
      </c>
      <c r="I78" s="1852" t="s">
        <v>808</v>
      </c>
    </row>
    <row customHeight="1" ht="11.25">
      <c r="A79" s="1852" t="s">
        <v>2246</v>
      </c>
      <c r="B79" s="1852" t="s">
        <v>16</v>
      </c>
      <c r="C79" s="1852" t="s">
        <v>2528</v>
      </c>
      <c r="D79" s="1852" t="s">
        <v>2529</v>
      </c>
      <c r="E79" s="1852" t="s">
        <v>2530</v>
      </c>
      <c r="F79" s="1852" t="s">
        <v>2477</v>
      </c>
      <c r="G79" s="1852" t="s">
        <v>22</v>
      </c>
      <c r="H79" s="1852" t="s">
        <v>22</v>
      </c>
      <c r="I79" s="1852" t="s">
        <v>808</v>
      </c>
    </row>
    <row customHeight="1" ht="11.25">
      <c r="A80" s="1852" t="s">
        <v>2246</v>
      </c>
      <c r="B80" s="1852" t="s">
        <v>16</v>
      </c>
      <c r="C80" s="1852" t="s">
        <v>2531</v>
      </c>
      <c r="D80" s="1852" t="s">
        <v>2532</v>
      </c>
      <c r="E80" s="1852" t="s">
        <v>2533</v>
      </c>
      <c r="F80" s="1852" t="s">
        <v>2534</v>
      </c>
      <c r="G80" s="1852" t="s">
        <v>22</v>
      </c>
      <c r="H80" s="1852" t="s">
        <v>22</v>
      </c>
      <c r="I80" s="1852" t="s">
        <v>808</v>
      </c>
    </row>
    <row customHeight="1" ht="11.25">
      <c r="A81" s="1852" t="s">
        <v>2246</v>
      </c>
      <c r="B81" s="1852" t="s">
        <v>16</v>
      </c>
      <c r="C81" s="1852" t="s">
        <v>2535</v>
      </c>
      <c r="D81" s="1852" t="s">
        <v>2536</v>
      </c>
      <c r="E81" s="1852" t="s">
        <v>2537</v>
      </c>
      <c r="F81" s="1852" t="s">
        <v>2250</v>
      </c>
      <c r="G81" s="1852" t="s">
        <v>22</v>
      </c>
      <c r="H81" s="1852" t="s">
        <v>22</v>
      </c>
      <c r="I81" s="1852" t="s">
        <v>808</v>
      </c>
    </row>
    <row customHeight="1" ht="11.25">
      <c r="A82" s="1852" t="s">
        <v>2246</v>
      </c>
      <c r="B82" s="1852" t="s">
        <v>16</v>
      </c>
      <c r="C82" s="1852" t="s">
        <v>2538</v>
      </c>
      <c r="D82" s="1852" t="s">
        <v>2539</v>
      </c>
      <c r="E82" s="1852" t="s">
        <v>2540</v>
      </c>
      <c r="F82" s="1852" t="s">
        <v>2541</v>
      </c>
      <c r="G82" s="1852" t="s">
        <v>2542</v>
      </c>
      <c r="H82" s="1852" t="s">
        <v>22</v>
      </c>
      <c r="I82" s="1852" t="s">
        <v>808</v>
      </c>
    </row>
    <row customHeight="1" ht="11.25">
      <c r="A83" s="1852" t="s">
        <v>2246</v>
      </c>
      <c r="B83" s="1852" t="s">
        <v>16</v>
      </c>
      <c r="C83" s="1852" t="s">
        <v>2543</v>
      </c>
      <c r="D83" s="1852" t="s">
        <v>2544</v>
      </c>
      <c r="E83" s="1852" t="s">
        <v>2545</v>
      </c>
      <c r="F83" s="1852" t="s">
        <v>2546</v>
      </c>
      <c r="G83" s="1852" t="s">
        <v>22</v>
      </c>
      <c r="H83" s="1852" t="s">
        <v>22</v>
      </c>
      <c r="I83" s="1852" t="s">
        <v>808</v>
      </c>
    </row>
    <row customHeight="1" ht="11.25">
      <c r="A84" s="1852" t="s">
        <v>2246</v>
      </c>
      <c r="B84" s="1852" t="s">
        <v>16</v>
      </c>
      <c r="C84" s="1852" t="s">
        <v>2547</v>
      </c>
      <c r="D84" s="1852" t="s">
        <v>2548</v>
      </c>
      <c r="E84" s="1852" t="s">
        <v>2549</v>
      </c>
      <c r="F84" s="1852" t="s">
        <v>2392</v>
      </c>
      <c r="G84" s="1852" t="s">
        <v>22</v>
      </c>
      <c r="H84" s="1852" t="s">
        <v>2550</v>
      </c>
      <c r="I84" s="1852" t="s">
        <v>808</v>
      </c>
    </row>
    <row customHeight="1" ht="11.25">
      <c r="A85" s="1852" t="s">
        <v>2246</v>
      </c>
      <c r="B85" s="1852" t="s">
        <v>16</v>
      </c>
      <c r="C85" s="1852" t="s">
        <v>2551</v>
      </c>
      <c r="D85" s="1852" t="s">
        <v>2552</v>
      </c>
      <c r="E85" s="1852" t="s">
        <v>2553</v>
      </c>
      <c r="F85" s="1852" t="s">
        <v>2554</v>
      </c>
      <c r="G85" s="1852" t="s">
        <v>22</v>
      </c>
      <c r="H85" s="1852" t="s">
        <v>22</v>
      </c>
      <c r="I85" s="1852" t="s">
        <v>808</v>
      </c>
    </row>
    <row customHeight="1" ht="11.25">
      <c r="A86" s="1852" t="s">
        <v>2246</v>
      </c>
      <c r="B86" s="1852" t="s">
        <v>16</v>
      </c>
      <c r="C86" s="1852" t="s">
        <v>2555</v>
      </c>
      <c r="D86" s="1852" t="s">
        <v>2556</v>
      </c>
      <c r="E86" s="1852" t="s">
        <v>2557</v>
      </c>
      <c r="F86" s="1852" t="s">
        <v>2554</v>
      </c>
      <c r="G86" s="1852" t="s">
        <v>22</v>
      </c>
      <c r="H86" s="1852" t="s">
        <v>22</v>
      </c>
      <c r="I86" s="1852" t="s">
        <v>808</v>
      </c>
    </row>
    <row customHeight="1" ht="11.25">
      <c r="A87" s="1852" t="s">
        <v>2246</v>
      </c>
      <c r="B87" s="1852" t="s">
        <v>16</v>
      </c>
      <c r="C87" s="1852" t="s">
        <v>2558</v>
      </c>
      <c r="D87" s="1852" t="s">
        <v>2559</v>
      </c>
      <c r="E87" s="1852" t="s">
        <v>2560</v>
      </c>
      <c r="F87" s="1852" t="s">
        <v>2351</v>
      </c>
      <c r="G87" s="1852" t="s">
        <v>22</v>
      </c>
      <c r="H87" s="1852" t="s">
        <v>2561</v>
      </c>
      <c r="I87" s="1852" t="s">
        <v>808</v>
      </c>
    </row>
    <row customHeight="1" ht="11.25">
      <c r="A88" s="1852" t="s">
        <v>2246</v>
      </c>
      <c r="B88" s="1852" t="s">
        <v>16</v>
      </c>
      <c r="C88" s="1852" t="s">
        <v>2562</v>
      </c>
      <c r="D88" s="1852" t="s">
        <v>2563</v>
      </c>
      <c r="E88" s="1852" t="s">
        <v>2564</v>
      </c>
      <c r="F88" s="1852" t="s">
        <v>2534</v>
      </c>
      <c r="G88" s="1852" t="s">
        <v>22</v>
      </c>
      <c r="H88" s="1852" t="s">
        <v>2565</v>
      </c>
      <c r="I88" s="1852" t="s">
        <v>808</v>
      </c>
    </row>
    <row customHeight="1" ht="11.25">
      <c r="A89" s="1852" t="s">
        <v>2246</v>
      </c>
      <c r="B89" s="1852" t="s">
        <v>16</v>
      </c>
      <c r="C89" s="1852" t="s">
        <v>2566</v>
      </c>
      <c r="D89" s="1852" t="s">
        <v>2567</v>
      </c>
      <c r="E89" s="1852" t="s">
        <v>2568</v>
      </c>
      <c r="F89" s="1852" t="s">
        <v>2554</v>
      </c>
      <c r="G89" s="1852" t="s">
        <v>22</v>
      </c>
      <c r="H89" s="1852" t="s">
        <v>22</v>
      </c>
      <c r="I89" s="1852" t="s">
        <v>808</v>
      </c>
    </row>
    <row customHeight="1" ht="11.25">
      <c r="A90" s="1852" t="s">
        <v>2246</v>
      </c>
      <c r="B90" s="1852" t="s">
        <v>16</v>
      </c>
      <c r="C90" s="1852" t="s">
        <v>2569</v>
      </c>
      <c r="D90" s="1852" t="s">
        <v>2570</v>
      </c>
      <c r="E90" s="1852" t="s">
        <v>2571</v>
      </c>
      <c r="F90" s="1852" t="s">
        <v>2546</v>
      </c>
      <c r="G90" s="1852" t="s">
        <v>22</v>
      </c>
      <c r="H90" s="1852" t="s">
        <v>2572</v>
      </c>
      <c r="I90" s="1852" t="s">
        <v>808</v>
      </c>
    </row>
    <row customHeight="1" ht="11.25">
      <c r="A91" s="1852" t="s">
        <v>2246</v>
      </c>
      <c r="B91" s="1852" t="s">
        <v>16</v>
      </c>
      <c r="C91" s="1852" t="s">
        <v>2573</v>
      </c>
      <c r="D91" s="1852" t="s">
        <v>2574</v>
      </c>
      <c r="E91" s="1852" t="s">
        <v>2575</v>
      </c>
      <c r="F91" s="1852" t="s">
        <v>2365</v>
      </c>
      <c r="G91" s="1852" t="s">
        <v>2576</v>
      </c>
      <c r="H91" s="1852" t="s">
        <v>22</v>
      </c>
      <c r="I91" s="1852" t="s">
        <v>808</v>
      </c>
    </row>
    <row customHeight="1" ht="11.25">
      <c r="A92" s="1852" t="s">
        <v>2246</v>
      </c>
      <c r="B92" s="1852" t="s">
        <v>16</v>
      </c>
      <c r="C92" s="1852" t="s">
        <v>2577</v>
      </c>
      <c r="D92" s="1852" t="s">
        <v>2578</v>
      </c>
      <c r="E92" s="1852" t="s">
        <v>2579</v>
      </c>
      <c r="F92" s="1852" t="s">
        <v>2333</v>
      </c>
      <c r="G92" s="1852" t="s">
        <v>2580</v>
      </c>
      <c r="H92" s="1852" t="s">
        <v>22</v>
      </c>
      <c r="I92" s="1852" t="s">
        <v>808</v>
      </c>
    </row>
    <row customHeight="1" ht="11.25">
      <c r="A93" s="1852" t="s">
        <v>2246</v>
      </c>
      <c r="B93" s="1852" t="s">
        <v>16</v>
      </c>
      <c r="C93" s="1852" t="s">
        <v>2581</v>
      </c>
      <c r="D93" s="1852" t="s">
        <v>2582</v>
      </c>
      <c r="E93" s="1852" t="s">
        <v>2583</v>
      </c>
      <c r="F93" s="1852" t="s">
        <v>2365</v>
      </c>
      <c r="G93" s="1852" t="s">
        <v>2584</v>
      </c>
      <c r="H93" s="1852" t="s">
        <v>22</v>
      </c>
      <c r="I93" s="1852" t="s">
        <v>808</v>
      </c>
    </row>
    <row customHeight="1" ht="11.25">
      <c r="A94" s="1852" t="s">
        <v>2246</v>
      </c>
      <c r="B94" s="1852" t="s">
        <v>16</v>
      </c>
      <c r="C94" s="1852" t="s">
        <v>2585</v>
      </c>
      <c r="D94" s="1852" t="s">
        <v>2586</v>
      </c>
      <c r="E94" s="1852" t="s">
        <v>2587</v>
      </c>
      <c r="F94" s="1852" t="s">
        <v>2588</v>
      </c>
      <c r="G94" s="1852" t="s">
        <v>22</v>
      </c>
      <c r="H94" s="1852" t="s">
        <v>22</v>
      </c>
      <c r="I94" s="1852" t="s">
        <v>808</v>
      </c>
    </row>
    <row customHeight="1" ht="11.25">
      <c r="A95" s="1852" t="s">
        <v>2246</v>
      </c>
      <c r="B95" s="1852" t="s">
        <v>16</v>
      </c>
      <c r="C95" s="1852" t="s">
        <v>2589</v>
      </c>
      <c r="D95" s="1852" t="s">
        <v>2590</v>
      </c>
      <c r="E95" s="1852" t="s">
        <v>2591</v>
      </c>
      <c r="F95" s="1852" t="s">
        <v>2592</v>
      </c>
      <c r="G95" s="1852" t="s">
        <v>22</v>
      </c>
      <c r="H95" s="1852" t="s">
        <v>22</v>
      </c>
      <c r="I95" s="1852" t="s">
        <v>808</v>
      </c>
    </row>
    <row customHeight="1" ht="11.25">
      <c r="A96" s="1852" t="s">
        <v>2246</v>
      </c>
      <c r="B96" s="1852" t="s">
        <v>16</v>
      </c>
      <c r="C96" s="1852" t="s">
        <v>2593</v>
      </c>
      <c r="D96" s="1852" t="s">
        <v>2594</v>
      </c>
      <c r="E96" s="1852" t="s">
        <v>2595</v>
      </c>
      <c r="F96" s="1852" t="s">
        <v>2365</v>
      </c>
      <c r="G96" s="1852" t="s">
        <v>2596</v>
      </c>
      <c r="H96" s="1852" t="s">
        <v>22</v>
      </c>
      <c r="I96" s="1852" t="s">
        <v>808</v>
      </c>
    </row>
    <row customHeight="1" ht="11.25">
      <c r="A97" s="1852" t="s">
        <v>2246</v>
      </c>
      <c r="B97" s="1852" t="s">
        <v>16</v>
      </c>
      <c r="C97" s="1852" t="s">
        <v>2597</v>
      </c>
      <c r="D97" s="1852" t="s">
        <v>2598</v>
      </c>
      <c r="E97" s="1852" t="s">
        <v>2599</v>
      </c>
      <c r="F97" s="1852" t="s">
        <v>2534</v>
      </c>
      <c r="G97" s="1852" t="s">
        <v>2600</v>
      </c>
      <c r="H97" s="1852" t="s">
        <v>22</v>
      </c>
      <c r="I97" s="1852" t="s">
        <v>808</v>
      </c>
    </row>
    <row customHeight="1" ht="11.25">
      <c r="A98" s="1852" t="s">
        <v>2246</v>
      </c>
      <c r="B98" s="1852" t="s">
        <v>16</v>
      </c>
      <c r="C98" s="1852" t="s">
        <v>2601</v>
      </c>
      <c r="D98" s="1852" t="s">
        <v>2602</v>
      </c>
      <c r="E98" s="1852" t="s">
        <v>2603</v>
      </c>
      <c r="F98" s="1852" t="s">
        <v>2541</v>
      </c>
      <c r="G98" s="1852" t="s">
        <v>22</v>
      </c>
      <c r="H98" s="1852" t="s">
        <v>22</v>
      </c>
      <c r="I98" s="1852" t="s">
        <v>808</v>
      </c>
    </row>
    <row customHeight="1" ht="11.25">
      <c r="A99" s="1852" t="s">
        <v>2246</v>
      </c>
      <c r="B99" s="1852" t="s">
        <v>16</v>
      </c>
      <c r="C99" s="1852" t="s">
        <v>2604</v>
      </c>
      <c r="D99" s="1852" t="s">
        <v>2605</v>
      </c>
      <c r="E99" s="1852" t="s">
        <v>2606</v>
      </c>
      <c r="F99" s="1852" t="s">
        <v>2326</v>
      </c>
      <c r="G99" s="1852" t="s">
        <v>2607</v>
      </c>
      <c r="H99" s="1852" t="s">
        <v>22</v>
      </c>
      <c r="I99" s="1852" t="s">
        <v>808</v>
      </c>
    </row>
    <row customHeight="1" ht="11.25">
      <c r="A100" s="1852" t="s">
        <v>2246</v>
      </c>
      <c r="B100" s="1852" t="s">
        <v>16</v>
      </c>
      <c r="C100" s="1852" t="s">
        <v>2608</v>
      </c>
      <c r="D100" s="1852" t="s">
        <v>2605</v>
      </c>
      <c r="E100" s="1852" t="s">
        <v>2606</v>
      </c>
      <c r="F100" s="1852" t="s">
        <v>2609</v>
      </c>
      <c r="G100" s="1852" t="s">
        <v>22</v>
      </c>
      <c r="H100" s="1852" t="s">
        <v>22</v>
      </c>
      <c r="I100" s="1852" t="s">
        <v>808</v>
      </c>
    </row>
    <row customHeight="1" ht="11.25">
      <c r="A101" s="1852" t="s">
        <v>2246</v>
      </c>
      <c r="B101" s="1852" t="s">
        <v>16</v>
      </c>
      <c r="C101" s="1852" t="s">
        <v>2610</v>
      </c>
      <c r="D101" s="1852" t="s">
        <v>2611</v>
      </c>
      <c r="E101" s="1852" t="s">
        <v>2612</v>
      </c>
      <c r="F101" s="1852" t="s">
        <v>2613</v>
      </c>
      <c r="G101" s="1852" t="s">
        <v>2614</v>
      </c>
      <c r="H101" s="1852" t="s">
        <v>22</v>
      </c>
      <c r="I101" s="1852" t="s">
        <v>808</v>
      </c>
    </row>
    <row customHeight="1" ht="11.25">
      <c r="A102" s="1852" t="s">
        <v>2246</v>
      </c>
      <c r="B102" s="1852" t="s">
        <v>16</v>
      </c>
      <c r="C102" s="1852" t="s">
        <v>2615</v>
      </c>
      <c r="D102" s="1852" t="s">
        <v>2616</v>
      </c>
      <c r="E102" s="1852" t="s">
        <v>2617</v>
      </c>
      <c r="F102" s="1852" t="s">
        <v>2618</v>
      </c>
      <c r="G102" s="1852" t="s">
        <v>2619</v>
      </c>
      <c r="H102" s="1852" t="s">
        <v>22</v>
      </c>
      <c r="I102" s="1852" t="s">
        <v>808</v>
      </c>
    </row>
    <row customHeight="1" ht="11.25">
      <c r="A103" s="1852" t="s">
        <v>2246</v>
      </c>
      <c r="B103" s="1852" t="s">
        <v>16</v>
      </c>
      <c r="C103" s="1852" t="s">
        <v>2620</v>
      </c>
      <c r="D103" s="1852" t="s">
        <v>2621</v>
      </c>
      <c r="E103" s="1852" t="s">
        <v>2622</v>
      </c>
      <c r="F103" s="1852" t="s">
        <v>2623</v>
      </c>
      <c r="G103" s="1852" t="s">
        <v>22</v>
      </c>
      <c r="H103" s="1852" t="s">
        <v>22</v>
      </c>
      <c r="I103" s="1852" t="s">
        <v>808</v>
      </c>
    </row>
    <row customHeight="1" ht="11.25">
      <c r="A104" s="1852" t="s">
        <v>2246</v>
      </c>
      <c r="B104" s="1852" t="s">
        <v>16</v>
      </c>
      <c r="C104" s="1852" t="s">
        <v>2624</v>
      </c>
      <c r="D104" s="1852" t="s">
        <v>2625</v>
      </c>
      <c r="E104" s="1852" t="s">
        <v>2626</v>
      </c>
      <c r="F104" s="1852" t="s">
        <v>2618</v>
      </c>
      <c r="G104" s="1852" t="s">
        <v>2627</v>
      </c>
      <c r="H104" s="1852" t="s">
        <v>2628</v>
      </c>
      <c r="I104" s="1852" t="s">
        <v>808</v>
      </c>
    </row>
    <row customHeight="1" ht="11.25">
      <c r="A105" s="1852" t="s">
        <v>2246</v>
      </c>
      <c r="B105" s="1852" t="s">
        <v>16</v>
      </c>
      <c r="C105" s="1852" t="s">
        <v>2629</v>
      </c>
      <c r="D105" s="1852" t="s">
        <v>2630</v>
      </c>
      <c r="E105" s="1852" t="s">
        <v>2631</v>
      </c>
      <c r="F105" s="1852" t="s">
        <v>2623</v>
      </c>
      <c r="G105" s="1852" t="s">
        <v>2632</v>
      </c>
      <c r="H105" s="1852" t="s">
        <v>22</v>
      </c>
      <c r="I105" s="1852" t="s">
        <v>808</v>
      </c>
    </row>
    <row customHeight="1" ht="11.25">
      <c r="A106" s="1852" t="s">
        <v>2246</v>
      </c>
      <c r="B106" s="1852" t="s">
        <v>16</v>
      </c>
      <c r="C106" s="1852" t="s">
        <v>2633</v>
      </c>
      <c r="D106" s="1852" t="s">
        <v>2634</v>
      </c>
      <c r="E106" s="1852" t="s">
        <v>2635</v>
      </c>
      <c r="F106" s="1852" t="s">
        <v>2373</v>
      </c>
      <c r="G106" s="1852" t="s">
        <v>22</v>
      </c>
      <c r="H106" s="1852" t="s">
        <v>22</v>
      </c>
      <c r="I106" s="1852" t="s">
        <v>808</v>
      </c>
    </row>
    <row customHeight="1" ht="11.25">
      <c r="A107" s="1852" t="s">
        <v>2246</v>
      </c>
      <c r="B107" s="1852" t="s">
        <v>16</v>
      </c>
      <c r="C107" s="1852" t="s">
        <v>2636</v>
      </c>
      <c r="D107" s="1852" t="s">
        <v>2637</v>
      </c>
      <c r="E107" s="1852" t="s">
        <v>2638</v>
      </c>
      <c r="F107" s="1852" t="s">
        <v>2541</v>
      </c>
      <c r="G107" s="1852" t="s">
        <v>22</v>
      </c>
      <c r="H107" s="1852" t="s">
        <v>22</v>
      </c>
      <c r="I107" s="1852" t="s">
        <v>808</v>
      </c>
    </row>
    <row customHeight="1" ht="11.25">
      <c r="A108" s="1852" t="s">
        <v>2246</v>
      </c>
      <c r="B108" s="1852" t="s">
        <v>16</v>
      </c>
      <c r="C108" s="1852" t="s">
        <v>2639</v>
      </c>
      <c r="D108" s="1852" t="s">
        <v>2640</v>
      </c>
      <c r="E108" s="1852" t="s">
        <v>2641</v>
      </c>
      <c r="F108" s="1852" t="s">
        <v>2554</v>
      </c>
      <c r="G108" s="1852" t="s">
        <v>2642</v>
      </c>
      <c r="H108" s="1852" t="s">
        <v>2643</v>
      </c>
      <c r="I108" s="1852" t="s">
        <v>808</v>
      </c>
    </row>
    <row customHeight="1" ht="11.25">
      <c r="A109" s="1852" t="s">
        <v>2246</v>
      </c>
      <c r="B109" s="1852" t="s">
        <v>16</v>
      </c>
      <c r="C109" s="1852" t="s">
        <v>2644</v>
      </c>
      <c r="D109" s="1852" t="s">
        <v>2645</v>
      </c>
      <c r="E109" s="1852" t="s">
        <v>2646</v>
      </c>
      <c r="F109" s="1852" t="s">
        <v>2554</v>
      </c>
      <c r="G109" s="1852" t="s">
        <v>2647</v>
      </c>
      <c r="H109" s="1852" t="s">
        <v>22</v>
      </c>
      <c r="I109" s="1852" t="s">
        <v>808</v>
      </c>
    </row>
    <row customHeight="1" ht="11.25">
      <c r="A110" s="1852" t="s">
        <v>2246</v>
      </c>
      <c r="B110" s="1852" t="s">
        <v>16</v>
      </c>
      <c r="C110" s="1852" t="s">
        <v>2648</v>
      </c>
      <c r="D110" s="1852" t="s">
        <v>2649</v>
      </c>
      <c r="E110" s="1852" t="s">
        <v>2650</v>
      </c>
      <c r="F110" s="1852" t="s">
        <v>2618</v>
      </c>
      <c r="G110" s="1852" t="s">
        <v>2651</v>
      </c>
      <c r="H110" s="1852" t="s">
        <v>22</v>
      </c>
      <c r="I110" s="1852" t="s">
        <v>808</v>
      </c>
    </row>
    <row customHeight="1" ht="11.25">
      <c r="A111" s="1852" t="s">
        <v>2246</v>
      </c>
      <c r="B111" s="1852" t="s">
        <v>16</v>
      </c>
      <c r="C111" s="1852" t="s">
        <v>2652</v>
      </c>
      <c r="D111" s="1852" t="s">
        <v>2653</v>
      </c>
      <c r="E111" s="1852" t="s">
        <v>2654</v>
      </c>
      <c r="F111" s="1852" t="s">
        <v>2259</v>
      </c>
      <c r="G111" s="1852" t="s">
        <v>2655</v>
      </c>
      <c r="H111" s="1852" t="s">
        <v>22</v>
      </c>
      <c r="I111" s="1852" t="s">
        <v>808</v>
      </c>
    </row>
    <row customHeight="1" ht="11.25">
      <c r="A112" s="1852" t="s">
        <v>2246</v>
      </c>
      <c r="B112" s="1852" t="s">
        <v>16</v>
      </c>
      <c r="C112" s="1852" t="s">
        <v>2656</v>
      </c>
      <c r="D112" s="1852" t="s">
        <v>2657</v>
      </c>
      <c r="E112" s="1852" t="s">
        <v>2658</v>
      </c>
      <c r="F112" s="1852" t="s">
        <v>2318</v>
      </c>
      <c r="G112" s="1852" t="s">
        <v>22</v>
      </c>
      <c r="H112" s="1852" t="s">
        <v>22</v>
      </c>
      <c r="I112" s="1852" t="s">
        <v>808</v>
      </c>
    </row>
    <row customHeight="1" ht="11.25">
      <c r="A113" s="1852" t="s">
        <v>2246</v>
      </c>
      <c r="B113" s="1852" t="s">
        <v>16</v>
      </c>
      <c r="C113" s="1852" t="s">
        <v>2659</v>
      </c>
      <c r="D113" s="1852" t="s">
        <v>2660</v>
      </c>
      <c r="E113" s="1852" t="s">
        <v>2661</v>
      </c>
      <c r="F113" s="1852" t="s">
        <v>2333</v>
      </c>
      <c r="G113" s="1852" t="s">
        <v>22</v>
      </c>
      <c r="H113" s="1852" t="s">
        <v>22</v>
      </c>
      <c r="I113" s="1852" t="s">
        <v>808</v>
      </c>
    </row>
    <row customHeight="1" ht="11.25">
      <c r="A114" s="1852" t="s">
        <v>2246</v>
      </c>
      <c r="B114" s="1852" t="s">
        <v>16</v>
      </c>
      <c r="C114" s="1852" t="s">
        <v>2662</v>
      </c>
      <c r="D114" s="1852" t="s">
        <v>2663</v>
      </c>
      <c r="E114" s="1852" t="s">
        <v>2664</v>
      </c>
      <c r="F114" s="1852" t="s">
        <v>2318</v>
      </c>
      <c r="G114" s="1852" t="s">
        <v>2665</v>
      </c>
      <c r="H114" s="1852" t="s">
        <v>22</v>
      </c>
      <c r="I114" s="1852" t="s">
        <v>808</v>
      </c>
    </row>
    <row customHeight="1" ht="11.25">
      <c r="A115" s="1852" t="s">
        <v>2246</v>
      </c>
      <c r="B115" s="1852" t="s">
        <v>16</v>
      </c>
      <c r="C115" s="1852" t="s">
        <v>2666</v>
      </c>
      <c r="D115" s="1852" t="s">
        <v>2667</v>
      </c>
      <c r="E115" s="1852" t="s">
        <v>2668</v>
      </c>
      <c r="F115" s="1852" t="s">
        <v>2669</v>
      </c>
      <c r="G115" s="1852" t="s">
        <v>2670</v>
      </c>
      <c r="H115" s="1852" t="s">
        <v>22</v>
      </c>
      <c r="I115" s="1852" t="s">
        <v>808</v>
      </c>
    </row>
    <row customHeight="1" ht="11.25">
      <c r="A116" s="1852" t="s">
        <v>2246</v>
      </c>
      <c r="B116" s="1852" t="s">
        <v>16</v>
      </c>
      <c r="C116" s="1852" t="s">
        <v>2671</v>
      </c>
      <c r="D116" s="1852" t="s">
        <v>2672</v>
      </c>
      <c r="E116" s="1852" t="s">
        <v>2673</v>
      </c>
      <c r="F116" s="1852" t="s">
        <v>2588</v>
      </c>
      <c r="G116" s="1852" t="s">
        <v>22</v>
      </c>
      <c r="H116" s="1852" t="s">
        <v>22</v>
      </c>
      <c r="I116" s="1852" t="s">
        <v>808</v>
      </c>
    </row>
    <row customHeight="1" ht="11.25">
      <c r="A117" s="1852" t="s">
        <v>2246</v>
      </c>
      <c r="B117" s="1852" t="s">
        <v>16</v>
      </c>
      <c r="C117" s="1852" t="s">
        <v>2674</v>
      </c>
      <c r="D117" s="1852" t="s">
        <v>2675</v>
      </c>
      <c r="E117" s="1852" t="s">
        <v>2676</v>
      </c>
      <c r="F117" s="1852" t="s">
        <v>2318</v>
      </c>
      <c r="G117" s="1852" t="s">
        <v>22</v>
      </c>
      <c r="H117" s="1852" t="s">
        <v>22</v>
      </c>
      <c r="I117" s="1852" t="s">
        <v>808</v>
      </c>
    </row>
    <row customHeight="1" ht="11.25">
      <c r="A118" s="1852" t="s">
        <v>2246</v>
      </c>
      <c r="B118" s="1852" t="s">
        <v>16</v>
      </c>
      <c r="C118" s="1852" t="s">
        <v>2677</v>
      </c>
      <c r="D118" s="1852" t="s">
        <v>2678</v>
      </c>
      <c r="E118" s="1852" t="s">
        <v>2679</v>
      </c>
      <c r="F118" s="1852" t="s">
        <v>2534</v>
      </c>
      <c r="G118" s="1852" t="s">
        <v>22</v>
      </c>
      <c r="H118" s="1852" t="s">
        <v>22</v>
      </c>
      <c r="I118" s="1852" t="s">
        <v>808</v>
      </c>
    </row>
    <row customHeight="1" ht="11.25">
      <c r="A119" s="1852" t="s">
        <v>2246</v>
      </c>
      <c r="B119" s="1852" t="s">
        <v>16</v>
      </c>
      <c r="C119" s="1852" t="s">
        <v>2680</v>
      </c>
      <c r="D119" s="1852" t="s">
        <v>2678</v>
      </c>
      <c r="E119" s="1852" t="s">
        <v>2679</v>
      </c>
      <c r="F119" s="1852" t="s">
        <v>2609</v>
      </c>
      <c r="G119" s="1852" t="s">
        <v>22</v>
      </c>
      <c r="H119" s="1852" t="s">
        <v>22</v>
      </c>
      <c r="I119" s="1852" t="s">
        <v>808</v>
      </c>
    </row>
    <row customHeight="1" ht="11.25">
      <c r="A120" s="1852" t="s">
        <v>2246</v>
      </c>
      <c r="B120" s="1852" t="s">
        <v>16</v>
      </c>
      <c r="C120" s="1852" t="s">
        <v>2681</v>
      </c>
      <c r="D120" s="1852" t="s">
        <v>2682</v>
      </c>
      <c r="E120" s="1852" t="s">
        <v>2683</v>
      </c>
      <c r="F120" s="1852" t="s">
        <v>2274</v>
      </c>
      <c r="G120" s="1852" t="s">
        <v>22</v>
      </c>
      <c r="H120" s="1852" t="s">
        <v>2684</v>
      </c>
      <c r="I120" s="1852" t="s">
        <v>808</v>
      </c>
    </row>
    <row customHeight="1" ht="11.25">
      <c r="A121" s="1852" t="s">
        <v>2246</v>
      </c>
      <c r="B121" s="1852" t="s">
        <v>16</v>
      </c>
      <c r="C121" s="1852" t="s">
        <v>2685</v>
      </c>
      <c r="D121" s="1852" t="s">
        <v>2686</v>
      </c>
      <c r="E121" s="1852" t="s">
        <v>2417</v>
      </c>
      <c r="F121" s="1852" t="s">
        <v>2687</v>
      </c>
      <c r="G121" s="1852" t="s">
        <v>2688</v>
      </c>
      <c r="H121" s="1852" t="s">
        <v>22</v>
      </c>
      <c r="I121" s="1852" t="s">
        <v>808</v>
      </c>
    </row>
    <row customHeight="1" ht="11.25">
      <c r="A122" s="1852" t="s">
        <v>2246</v>
      </c>
      <c r="B122" s="1852" t="s">
        <v>16</v>
      </c>
      <c r="C122" s="1852" t="s">
        <v>2689</v>
      </c>
      <c r="D122" s="1852" t="s">
        <v>2690</v>
      </c>
      <c r="E122" s="1852" t="s">
        <v>2691</v>
      </c>
      <c r="F122" s="1852" t="s">
        <v>2692</v>
      </c>
      <c r="G122" s="1852" t="s">
        <v>22</v>
      </c>
      <c r="H122" s="1852" t="s">
        <v>22</v>
      </c>
      <c r="I122" s="1852" t="s">
        <v>808</v>
      </c>
    </row>
    <row customHeight="1" ht="11.25">
      <c r="A123" s="1852" t="s">
        <v>2246</v>
      </c>
      <c r="B123" s="1852" t="s">
        <v>16</v>
      </c>
      <c r="C123" s="1852" t="s">
        <v>2693</v>
      </c>
      <c r="D123" s="1852" t="s">
        <v>2694</v>
      </c>
      <c r="E123" s="1852" t="s">
        <v>2695</v>
      </c>
      <c r="F123" s="1852" t="s">
        <v>2623</v>
      </c>
      <c r="G123" s="1852" t="s">
        <v>22</v>
      </c>
      <c r="H123" s="1852" t="s">
        <v>22</v>
      </c>
      <c r="I123" s="1852" t="s">
        <v>808</v>
      </c>
    </row>
    <row customHeight="1" ht="11.25">
      <c r="A124" s="1852" t="s">
        <v>2246</v>
      </c>
      <c r="B124" s="1852" t="s">
        <v>16</v>
      </c>
      <c r="C124" s="1852" t="s">
        <v>2696</v>
      </c>
      <c r="D124" s="1852" t="s">
        <v>2697</v>
      </c>
      <c r="E124" s="1852" t="s">
        <v>2698</v>
      </c>
      <c r="F124" s="1852" t="s">
        <v>2274</v>
      </c>
      <c r="G124" s="1852" t="s">
        <v>22</v>
      </c>
      <c r="H124" s="1852" t="s">
        <v>22</v>
      </c>
      <c r="I124" s="1852" t="s">
        <v>808</v>
      </c>
    </row>
    <row customHeight="1" ht="11.25">
      <c r="A125" s="1852" t="s">
        <v>2246</v>
      </c>
      <c r="B125" s="1852" t="s">
        <v>16</v>
      </c>
      <c r="C125" s="1852" t="s">
        <v>2699</v>
      </c>
      <c r="D125" s="1852" t="s">
        <v>2700</v>
      </c>
      <c r="E125" s="1852" t="s">
        <v>2701</v>
      </c>
      <c r="F125" s="1852" t="s">
        <v>2274</v>
      </c>
      <c r="G125" s="1852" t="s">
        <v>22</v>
      </c>
      <c r="H125" s="1852" t="s">
        <v>22</v>
      </c>
      <c r="I125" s="1852" t="s">
        <v>808</v>
      </c>
    </row>
    <row customHeight="1" ht="11.25">
      <c r="A126" s="1852" t="s">
        <v>2246</v>
      </c>
      <c r="B126" s="1852" t="s">
        <v>16</v>
      </c>
      <c r="C126" s="1852" t="s">
        <v>2702</v>
      </c>
      <c r="D126" s="1852" t="s">
        <v>2703</v>
      </c>
      <c r="E126" s="1852" t="s">
        <v>2704</v>
      </c>
      <c r="F126" s="1852" t="s">
        <v>2326</v>
      </c>
      <c r="G126" s="1852" t="s">
        <v>22</v>
      </c>
      <c r="H126" s="1852" t="s">
        <v>22</v>
      </c>
      <c r="I126" s="1852" t="s">
        <v>808</v>
      </c>
    </row>
    <row customHeight="1" ht="11.25">
      <c r="A127" s="1852" t="s">
        <v>2246</v>
      </c>
      <c r="B127" s="1852" t="s">
        <v>16</v>
      </c>
      <c r="C127" s="1852" t="s">
        <v>2705</v>
      </c>
      <c r="D127" s="1852" t="s">
        <v>2706</v>
      </c>
      <c r="E127" s="1852" t="s">
        <v>2413</v>
      </c>
      <c r="F127" s="1852" t="s">
        <v>2609</v>
      </c>
      <c r="G127" s="1852" t="s">
        <v>22</v>
      </c>
      <c r="H127" s="1852" t="s">
        <v>22</v>
      </c>
      <c r="I127" s="1852" t="s">
        <v>808</v>
      </c>
    </row>
    <row customHeight="1" ht="11.25">
      <c r="A128" s="1852" t="s">
        <v>2246</v>
      </c>
      <c r="B128" s="1852" t="s">
        <v>16</v>
      </c>
      <c r="C128" s="1852" t="s">
        <v>2707</v>
      </c>
      <c r="D128" s="1852" t="s">
        <v>2708</v>
      </c>
      <c r="E128" s="1852" t="s">
        <v>2709</v>
      </c>
      <c r="F128" s="1852" t="s">
        <v>2274</v>
      </c>
      <c r="G128" s="1852" t="s">
        <v>22</v>
      </c>
      <c r="H128" s="1852" t="s">
        <v>22</v>
      </c>
      <c r="I128" s="1852" t="s">
        <v>808</v>
      </c>
    </row>
    <row customHeight="1" ht="11.25">
      <c r="A129" s="1852" t="s">
        <v>2246</v>
      </c>
      <c r="B129" s="1852" t="s">
        <v>16</v>
      </c>
      <c r="C129" s="1852" t="s">
        <v>2710</v>
      </c>
      <c r="D129" s="1852" t="s">
        <v>2711</v>
      </c>
      <c r="E129" s="1852" t="s">
        <v>2712</v>
      </c>
      <c r="F129" s="1852" t="s">
        <v>2274</v>
      </c>
      <c r="G129" s="1852" t="s">
        <v>22</v>
      </c>
      <c r="H129" s="1852" t="s">
        <v>22</v>
      </c>
      <c r="I129" s="1852" t="s">
        <v>808</v>
      </c>
    </row>
    <row customHeight="1" ht="11.25">
      <c r="A130" s="1852" t="s">
        <v>2246</v>
      </c>
      <c r="B130" s="1852" t="s">
        <v>16</v>
      </c>
      <c r="C130" s="1852" t="s">
        <v>2713</v>
      </c>
      <c r="D130" s="1852" t="s">
        <v>2714</v>
      </c>
      <c r="E130" s="1852" t="s">
        <v>2715</v>
      </c>
      <c r="F130" s="1852" t="s">
        <v>2618</v>
      </c>
      <c r="G130" s="1852" t="s">
        <v>22</v>
      </c>
      <c r="H130" s="1852" t="s">
        <v>22</v>
      </c>
      <c r="I130" s="1852" t="s">
        <v>808</v>
      </c>
    </row>
    <row customHeight="1" ht="11.25">
      <c r="A131" s="1852" t="s">
        <v>2246</v>
      </c>
      <c r="B131" s="1852" t="s">
        <v>16</v>
      </c>
      <c r="C131" s="1852" t="s">
        <v>2716</v>
      </c>
      <c r="D131" s="1852" t="s">
        <v>2717</v>
      </c>
      <c r="E131" s="1852" t="s">
        <v>2718</v>
      </c>
      <c r="F131" s="1852" t="s">
        <v>2326</v>
      </c>
      <c r="G131" s="1852" t="s">
        <v>22</v>
      </c>
      <c r="H131" s="1852" t="s">
        <v>22</v>
      </c>
      <c r="I131" s="1852" t="s">
        <v>808</v>
      </c>
    </row>
    <row customHeight="1" ht="11.25">
      <c r="A132" s="1852" t="s">
        <v>2246</v>
      </c>
      <c r="B132" s="1852" t="s">
        <v>16</v>
      </c>
      <c r="C132" s="1852" t="s">
        <v>2719</v>
      </c>
      <c r="D132" s="1852" t="s">
        <v>2720</v>
      </c>
      <c r="E132" s="1852" t="s">
        <v>2721</v>
      </c>
      <c r="F132" s="1852" t="s">
        <v>2326</v>
      </c>
      <c r="G132" s="1852" t="s">
        <v>2722</v>
      </c>
      <c r="H132" s="1852" t="s">
        <v>22</v>
      </c>
      <c r="I132" s="1852" t="s">
        <v>808</v>
      </c>
    </row>
    <row customHeight="1" ht="11.25">
      <c r="A133" s="1852" t="s">
        <v>2246</v>
      </c>
      <c r="B133" s="1852" t="s">
        <v>16</v>
      </c>
      <c r="C133" s="1852" t="s">
        <v>2723</v>
      </c>
      <c r="D133" s="1852" t="s">
        <v>2724</v>
      </c>
      <c r="E133" s="1852" t="s">
        <v>2725</v>
      </c>
      <c r="F133" s="1852" t="s">
        <v>2318</v>
      </c>
      <c r="G133" s="1852" t="s">
        <v>22</v>
      </c>
      <c r="H133" s="1852" t="s">
        <v>22</v>
      </c>
      <c r="I133" s="1852" t="s">
        <v>808</v>
      </c>
    </row>
    <row customHeight="1" ht="11.25">
      <c r="A134" s="1852" t="s">
        <v>2246</v>
      </c>
      <c r="B134" s="1852" t="s">
        <v>16</v>
      </c>
      <c r="C134" s="1852" t="s">
        <v>2726</v>
      </c>
      <c r="D134" s="1852" t="s">
        <v>2727</v>
      </c>
      <c r="E134" s="1852" t="s">
        <v>2728</v>
      </c>
      <c r="F134" s="1852" t="s">
        <v>2326</v>
      </c>
      <c r="G134" s="1852" t="s">
        <v>22</v>
      </c>
      <c r="H134" s="1852" t="s">
        <v>22</v>
      </c>
      <c r="I134" s="1852" t="s">
        <v>808</v>
      </c>
    </row>
    <row customHeight="1" ht="11.25">
      <c r="A135" s="1852" t="s">
        <v>2246</v>
      </c>
      <c r="B135" s="1852" t="s">
        <v>16</v>
      </c>
      <c r="C135" s="1852" t="s">
        <v>2729</v>
      </c>
      <c r="D135" s="1852" t="s">
        <v>2730</v>
      </c>
      <c r="E135" s="1852" t="s">
        <v>2731</v>
      </c>
      <c r="F135" s="1852" t="s">
        <v>2250</v>
      </c>
      <c r="G135" s="1852" t="s">
        <v>22</v>
      </c>
      <c r="H135" s="1852" t="s">
        <v>22</v>
      </c>
      <c r="I135" s="1852" t="s">
        <v>808</v>
      </c>
    </row>
    <row customHeight="1" ht="11.25">
      <c r="A136" s="1852" t="s">
        <v>2246</v>
      </c>
      <c r="B136" s="1852" t="s">
        <v>16</v>
      </c>
      <c r="C136" s="1852" t="s">
        <v>2732</v>
      </c>
      <c r="D136" s="1852" t="s">
        <v>2733</v>
      </c>
      <c r="E136" s="1852" t="s">
        <v>2734</v>
      </c>
      <c r="F136" s="1852" t="s">
        <v>2250</v>
      </c>
      <c r="G136" s="1852" t="s">
        <v>22</v>
      </c>
      <c r="H136" s="1852" t="s">
        <v>2735</v>
      </c>
      <c r="I136" s="1852" t="s">
        <v>808</v>
      </c>
    </row>
    <row customHeight="1" ht="11.25">
      <c r="A137" s="1852" t="s">
        <v>2246</v>
      </c>
      <c r="B137" s="1852" t="s">
        <v>16</v>
      </c>
      <c r="C137" s="1852" t="s">
        <v>2736</v>
      </c>
      <c r="D137" s="1852" t="s">
        <v>2737</v>
      </c>
      <c r="E137" s="1852" t="s">
        <v>2738</v>
      </c>
      <c r="F137" s="1852" t="s">
        <v>2618</v>
      </c>
      <c r="G137" s="1852" t="s">
        <v>22</v>
      </c>
      <c r="H137" s="1852" t="s">
        <v>2735</v>
      </c>
      <c r="I137" s="1852" t="s">
        <v>808</v>
      </c>
    </row>
    <row customHeight="1" ht="11.25">
      <c r="A138" s="1852" t="s">
        <v>2246</v>
      </c>
      <c r="B138" s="1852" t="s">
        <v>16</v>
      </c>
      <c r="C138" s="1852" t="s">
        <v>2739</v>
      </c>
      <c r="D138" s="1852" t="s">
        <v>2740</v>
      </c>
      <c r="E138" s="1852" t="s">
        <v>2741</v>
      </c>
      <c r="F138" s="1852" t="s">
        <v>2341</v>
      </c>
      <c r="G138" s="1852" t="s">
        <v>22</v>
      </c>
      <c r="H138" s="1852" t="s">
        <v>22</v>
      </c>
      <c r="I138" s="1852" t="s">
        <v>808</v>
      </c>
    </row>
    <row customHeight="1" ht="11.25">
      <c r="A139" s="1852" t="s">
        <v>2246</v>
      </c>
      <c r="B139" s="1852" t="s">
        <v>16</v>
      </c>
      <c r="C139" s="1852" t="s">
        <v>2742</v>
      </c>
      <c r="D139" s="1852" t="s">
        <v>2743</v>
      </c>
      <c r="E139" s="1852" t="s">
        <v>2744</v>
      </c>
      <c r="F139" s="1852" t="s">
        <v>2274</v>
      </c>
      <c r="G139" s="1852" t="s">
        <v>22</v>
      </c>
      <c r="H139" s="1852" t="s">
        <v>22</v>
      </c>
      <c r="I139" s="1852" t="s">
        <v>808</v>
      </c>
    </row>
    <row customHeight="1" ht="11.25">
      <c r="A140" s="1852" t="s">
        <v>2246</v>
      </c>
      <c r="B140" s="1852" t="s">
        <v>16</v>
      </c>
      <c r="C140" s="1852" t="s">
        <v>2745</v>
      </c>
      <c r="D140" s="1852" t="s">
        <v>2746</v>
      </c>
      <c r="E140" s="1852" t="s">
        <v>2747</v>
      </c>
      <c r="F140" s="1852" t="s">
        <v>2369</v>
      </c>
      <c r="G140" s="1852" t="s">
        <v>2748</v>
      </c>
      <c r="H140" s="1852" t="s">
        <v>22</v>
      </c>
      <c r="I140" s="1852" t="s">
        <v>808</v>
      </c>
    </row>
    <row customHeight="1" ht="11.25">
      <c r="A141" s="1852" t="s">
        <v>2246</v>
      </c>
      <c r="B141" s="1852" t="s">
        <v>16</v>
      </c>
      <c r="C141" s="1852" t="s">
        <v>2749</v>
      </c>
      <c r="D141" s="1852" t="s">
        <v>2750</v>
      </c>
      <c r="E141" s="1852" t="s">
        <v>2751</v>
      </c>
      <c r="F141" s="1852" t="s">
        <v>2274</v>
      </c>
      <c r="G141" s="1852" t="s">
        <v>22</v>
      </c>
      <c r="H141" s="1852" t="s">
        <v>22</v>
      </c>
      <c r="I141" s="1852" t="s">
        <v>808</v>
      </c>
    </row>
    <row customHeight="1" ht="11.25">
      <c r="A142" s="1852" t="s">
        <v>2246</v>
      </c>
      <c r="B142" s="1852" t="s">
        <v>16</v>
      </c>
      <c r="C142" s="1852" t="s">
        <v>2752</v>
      </c>
      <c r="D142" s="1852" t="s">
        <v>2753</v>
      </c>
      <c r="E142" s="1852" t="s">
        <v>2754</v>
      </c>
      <c r="F142" s="1852" t="s">
        <v>2318</v>
      </c>
      <c r="G142" s="1852" t="s">
        <v>2755</v>
      </c>
      <c r="H142" s="1852" t="s">
        <v>22</v>
      </c>
      <c r="I142" s="1852" t="s">
        <v>808</v>
      </c>
    </row>
    <row customHeight="1" ht="11.25">
      <c r="A143" s="1852" t="s">
        <v>2246</v>
      </c>
      <c r="B143" s="1852" t="s">
        <v>16</v>
      </c>
      <c r="C143" s="1852" t="s">
        <v>2756</v>
      </c>
      <c r="D143" s="1852" t="s">
        <v>2757</v>
      </c>
      <c r="E143" s="1852" t="s">
        <v>2758</v>
      </c>
      <c r="F143" s="1852" t="s">
        <v>2759</v>
      </c>
      <c r="G143" s="1852" t="s">
        <v>22</v>
      </c>
      <c r="H143" s="1852" t="s">
        <v>22</v>
      </c>
      <c r="I143" s="1852" t="s">
        <v>808</v>
      </c>
    </row>
    <row customHeight="1" ht="11.25">
      <c r="A144" s="1852" t="s">
        <v>2246</v>
      </c>
      <c r="B144" s="1852" t="s">
        <v>16</v>
      </c>
      <c r="C144" s="1852" t="s">
        <v>2760</v>
      </c>
      <c r="D144" s="1852" t="s">
        <v>2761</v>
      </c>
      <c r="E144" s="1852" t="s">
        <v>2762</v>
      </c>
      <c r="F144" s="1852" t="s">
        <v>2274</v>
      </c>
      <c r="G144" s="1852" t="s">
        <v>22</v>
      </c>
      <c r="H144" s="1852" t="s">
        <v>22</v>
      </c>
      <c r="I144" s="1852" t="s">
        <v>808</v>
      </c>
    </row>
    <row customHeight="1" ht="11.25">
      <c r="A145" s="1852" t="s">
        <v>2246</v>
      </c>
      <c r="B145" s="1852" t="s">
        <v>16</v>
      </c>
      <c r="C145" s="1852" t="s">
        <v>2763</v>
      </c>
      <c r="D145" s="1852" t="s">
        <v>2764</v>
      </c>
      <c r="E145" s="1852" t="s">
        <v>2765</v>
      </c>
      <c r="F145" s="1852" t="s">
        <v>2274</v>
      </c>
      <c r="G145" s="1852" t="s">
        <v>22</v>
      </c>
      <c r="H145" s="1852" t="s">
        <v>22</v>
      </c>
      <c r="I145" s="1852" t="s">
        <v>808</v>
      </c>
    </row>
    <row customHeight="1" ht="11.25">
      <c r="A146" s="1852" t="s">
        <v>2246</v>
      </c>
      <c r="B146" s="1852" t="s">
        <v>16</v>
      </c>
      <c r="C146" s="1852" t="s">
        <v>2766</v>
      </c>
      <c r="D146" s="1852" t="s">
        <v>2767</v>
      </c>
      <c r="E146" s="1852" t="s">
        <v>2768</v>
      </c>
      <c r="F146" s="1852" t="s">
        <v>2534</v>
      </c>
      <c r="G146" s="1852" t="s">
        <v>22</v>
      </c>
      <c r="H146" s="1852" t="s">
        <v>22</v>
      </c>
      <c r="I146" s="1852" t="s">
        <v>808</v>
      </c>
    </row>
    <row customHeight="1" ht="11.25">
      <c r="A147" s="1852" t="s">
        <v>2246</v>
      </c>
      <c r="B147" s="1852" t="s">
        <v>16</v>
      </c>
      <c r="C147" s="1852" t="s">
        <v>2769</v>
      </c>
      <c r="D147" s="1852" t="s">
        <v>2770</v>
      </c>
      <c r="E147" s="1852" t="s">
        <v>2771</v>
      </c>
      <c r="F147" s="1852" t="s">
        <v>2623</v>
      </c>
      <c r="G147" s="1852" t="s">
        <v>2772</v>
      </c>
      <c r="H147" s="1852" t="s">
        <v>22</v>
      </c>
      <c r="I147" s="1852" t="s">
        <v>808</v>
      </c>
    </row>
    <row customHeight="1" ht="11.25">
      <c r="A148" s="1852" t="s">
        <v>2246</v>
      </c>
      <c r="B148" s="1852" t="s">
        <v>16</v>
      </c>
      <c r="C148" s="1852" t="s">
        <v>2773</v>
      </c>
      <c r="D148" s="1852" t="s">
        <v>2774</v>
      </c>
      <c r="E148" s="1852" t="s">
        <v>2775</v>
      </c>
      <c r="F148" s="1852" t="s">
        <v>2341</v>
      </c>
      <c r="G148" s="1852" t="s">
        <v>22</v>
      </c>
      <c r="H148" s="1852" t="s">
        <v>22</v>
      </c>
      <c r="I148" s="1852" t="s">
        <v>808</v>
      </c>
    </row>
    <row customHeight="1" ht="11.25">
      <c r="A149" s="1852" t="s">
        <v>2246</v>
      </c>
      <c r="B149" s="1852" t="s">
        <v>16</v>
      </c>
      <c r="C149" s="1852" t="s">
        <v>2776</v>
      </c>
      <c r="D149" s="1852" t="s">
        <v>2777</v>
      </c>
      <c r="E149" s="1852" t="s">
        <v>2778</v>
      </c>
      <c r="F149" s="1852" t="s">
        <v>2326</v>
      </c>
      <c r="G149" s="1852" t="s">
        <v>22</v>
      </c>
      <c r="H149" s="1852" t="s">
        <v>22</v>
      </c>
      <c r="I149" s="1852" t="s">
        <v>808</v>
      </c>
    </row>
    <row customHeight="1" ht="11.25">
      <c r="A150" s="1852" t="s">
        <v>2246</v>
      </c>
      <c r="B150" s="1852" t="s">
        <v>16</v>
      </c>
      <c r="C150" s="1852" t="s">
        <v>2779</v>
      </c>
      <c r="D150" s="1852" t="s">
        <v>2780</v>
      </c>
      <c r="E150" s="1852" t="s">
        <v>2781</v>
      </c>
      <c r="F150" s="1852" t="s">
        <v>2782</v>
      </c>
      <c r="G150" s="1852" t="s">
        <v>2783</v>
      </c>
      <c r="H150" s="1852" t="s">
        <v>22</v>
      </c>
      <c r="I150" s="1852" t="s">
        <v>808</v>
      </c>
    </row>
    <row customHeight="1" ht="11.25">
      <c r="A151" s="1852" t="s">
        <v>2246</v>
      </c>
      <c r="B151" s="1852" t="s">
        <v>16</v>
      </c>
      <c r="C151" s="1852" t="s">
        <v>2784</v>
      </c>
      <c r="D151" s="1852" t="s">
        <v>2780</v>
      </c>
      <c r="E151" s="1852" t="s">
        <v>2781</v>
      </c>
      <c r="F151" s="1852" t="s">
        <v>2785</v>
      </c>
      <c r="G151" s="1852" t="s">
        <v>22</v>
      </c>
      <c r="H151" s="1852" t="s">
        <v>22</v>
      </c>
      <c r="I151" s="1852" t="s">
        <v>808</v>
      </c>
    </row>
    <row customHeight="1" ht="11.25">
      <c r="A152" s="1852" t="s">
        <v>2246</v>
      </c>
      <c r="B152" s="1852" t="s">
        <v>16</v>
      </c>
      <c r="C152" s="1852" t="s">
        <v>2786</v>
      </c>
      <c r="D152" s="1852" t="s">
        <v>2787</v>
      </c>
      <c r="E152" s="1852" t="s">
        <v>2781</v>
      </c>
      <c r="F152" s="1852" t="s">
        <v>2788</v>
      </c>
      <c r="G152" s="1852" t="s">
        <v>22</v>
      </c>
      <c r="H152" s="1852" t="s">
        <v>22</v>
      </c>
      <c r="I152" s="1852" t="s">
        <v>808</v>
      </c>
    </row>
    <row customHeight="1" ht="11.25">
      <c r="A153" s="1852" t="s">
        <v>2246</v>
      </c>
      <c r="B153" s="1852" t="s">
        <v>16</v>
      </c>
      <c r="C153" s="1852" t="s">
        <v>2789</v>
      </c>
      <c r="D153" s="1852" t="s">
        <v>2790</v>
      </c>
      <c r="E153" s="1852" t="s">
        <v>2781</v>
      </c>
      <c r="F153" s="1852" t="s">
        <v>2791</v>
      </c>
      <c r="G153" s="1852" t="s">
        <v>2792</v>
      </c>
      <c r="H153" s="1852" t="s">
        <v>22</v>
      </c>
      <c r="I153" s="1852" t="s">
        <v>808</v>
      </c>
    </row>
    <row customHeight="1" ht="11.25">
      <c r="A154" s="1852" t="s">
        <v>2246</v>
      </c>
      <c r="B154" s="1852" t="s">
        <v>16</v>
      </c>
      <c r="C154" s="1852" t="s">
        <v>2793</v>
      </c>
      <c r="D154" s="1852" t="s">
        <v>2794</v>
      </c>
      <c r="E154" s="1852" t="s">
        <v>2781</v>
      </c>
      <c r="F154" s="1852" t="s">
        <v>2795</v>
      </c>
      <c r="G154" s="1852" t="s">
        <v>22</v>
      </c>
      <c r="H154" s="1852" t="s">
        <v>22</v>
      </c>
      <c r="I154" s="1852" t="s">
        <v>808</v>
      </c>
    </row>
    <row customHeight="1" ht="11.25">
      <c r="A155" s="1852" t="s">
        <v>2246</v>
      </c>
      <c r="B155" s="1852" t="s">
        <v>16</v>
      </c>
      <c r="C155" s="1852" t="s">
        <v>2796</v>
      </c>
      <c r="D155" s="1852" t="s">
        <v>2797</v>
      </c>
      <c r="E155" s="1852" t="s">
        <v>2798</v>
      </c>
      <c r="F155" s="1852" t="s">
        <v>2515</v>
      </c>
      <c r="G155" s="1852" t="s">
        <v>22</v>
      </c>
      <c r="H155" s="1852" t="s">
        <v>22</v>
      </c>
      <c r="I155" s="1852" t="s">
        <v>808</v>
      </c>
    </row>
    <row customHeight="1" ht="11.25">
      <c r="A156" s="1852" t="s">
        <v>2246</v>
      </c>
      <c r="B156" s="1852" t="s">
        <v>16</v>
      </c>
      <c r="C156" s="1852" t="s">
        <v>2799</v>
      </c>
      <c r="D156" s="1852" t="s">
        <v>2800</v>
      </c>
      <c r="E156" s="1852" t="s">
        <v>2801</v>
      </c>
      <c r="F156" s="1852" t="s">
        <v>2333</v>
      </c>
      <c r="G156" s="1852" t="s">
        <v>22</v>
      </c>
      <c r="H156" s="1852" t="s">
        <v>22</v>
      </c>
      <c r="I156" s="1852" t="s">
        <v>808</v>
      </c>
    </row>
    <row customHeight="1" ht="11.25">
      <c r="A157" s="1852" t="s">
        <v>2246</v>
      </c>
      <c r="B157" s="1852" t="s">
        <v>16</v>
      </c>
      <c r="C157" s="1852" t="s">
        <v>2802</v>
      </c>
      <c r="D157" s="1852" t="s">
        <v>2803</v>
      </c>
      <c r="E157" s="1852" t="s">
        <v>2804</v>
      </c>
      <c r="F157" s="1852" t="s">
        <v>2534</v>
      </c>
      <c r="G157" s="1852" t="s">
        <v>22</v>
      </c>
      <c r="H157" s="1852" t="s">
        <v>22</v>
      </c>
      <c r="I157" s="1852" t="s">
        <v>808</v>
      </c>
    </row>
    <row customHeight="1" ht="11.25">
      <c r="A158" s="1852" t="s">
        <v>2246</v>
      </c>
      <c r="B158" s="1852" t="s">
        <v>16</v>
      </c>
      <c r="C158" s="1852" t="s">
        <v>2805</v>
      </c>
      <c r="D158" s="1852" t="s">
        <v>2806</v>
      </c>
      <c r="E158" s="1852" t="s">
        <v>2807</v>
      </c>
      <c r="F158" s="1852" t="s">
        <v>2618</v>
      </c>
      <c r="G158" s="1852" t="s">
        <v>22</v>
      </c>
      <c r="H158" s="1852" t="s">
        <v>22</v>
      </c>
      <c r="I158" s="1852" t="s">
        <v>808</v>
      </c>
    </row>
    <row customHeight="1" ht="11.25">
      <c r="A159" s="1852" t="s">
        <v>2246</v>
      </c>
      <c r="B159" s="1852" t="s">
        <v>16</v>
      </c>
      <c r="C159" s="1852" t="s">
        <v>2808</v>
      </c>
      <c r="D159" s="1852" t="s">
        <v>2809</v>
      </c>
      <c r="E159" s="1852" t="s">
        <v>2810</v>
      </c>
      <c r="F159" s="1852" t="s">
        <v>2250</v>
      </c>
      <c r="G159" s="1852" t="s">
        <v>22</v>
      </c>
      <c r="H159" s="1852" t="s">
        <v>22</v>
      </c>
      <c r="I159" s="1852" t="s">
        <v>808</v>
      </c>
    </row>
    <row customHeight="1" ht="11.25">
      <c r="A160" s="1852" t="s">
        <v>2246</v>
      </c>
      <c r="B160" s="1852" t="s">
        <v>16</v>
      </c>
      <c r="C160" s="1852" t="s">
        <v>2811</v>
      </c>
      <c r="D160" s="1852" t="s">
        <v>2812</v>
      </c>
      <c r="E160" s="1852" t="s">
        <v>2813</v>
      </c>
      <c r="F160" s="1852" t="s">
        <v>2250</v>
      </c>
      <c r="G160" s="1852" t="s">
        <v>22</v>
      </c>
      <c r="H160" s="1852" t="s">
        <v>22</v>
      </c>
      <c r="I160" s="1852" t="s">
        <v>808</v>
      </c>
    </row>
    <row customHeight="1" ht="11.25">
      <c r="A161" s="1852" t="s">
        <v>2246</v>
      </c>
      <c r="B161" s="1852" t="s">
        <v>16</v>
      </c>
      <c r="C161" s="1852" t="s">
        <v>2814</v>
      </c>
      <c r="D161" s="1852" t="s">
        <v>2815</v>
      </c>
      <c r="E161" s="1852" t="s">
        <v>2816</v>
      </c>
      <c r="F161" s="1852" t="s">
        <v>2250</v>
      </c>
      <c r="G161" s="1852" t="s">
        <v>22</v>
      </c>
      <c r="H161" s="1852" t="s">
        <v>22</v>
      </c>
      <c r="I161" s="1852" t="s">
        <v>808</v>
      </c>
    </row>
    <row customHeight="1" ht="11.25">
      <c r="A162" s="1852" t="s">
        <v>2246</v>
      </c>
      <c r="B162" s="1852" t="s">
        <v>16</v>
      </c>
      <c r="C162" s="1852" t="s">
        <v>2817</v>
      </c>
      <c r="D162" s="1852" t="s">
        <v>2818</v>
      </c>
      <c r="E162" s="1852" t="s">
        <v>2819</v>
      </c>
      <c r="F162" s="1852" t="s">
        <v>2250</v>
      </c>
      <c r="G162" s="1852" t="s">
        <v>22</v>
      </c>
      <c r="H162" s="1852" t="s">
        <v>22</v>
      </c>
      <c r="I162" s="1852" t="s">
        <v>808</v>
      </c>
    </row>
    <row customHeight="1" ht="11.25">
      <c r="A163" s="1852" t="s">
        <v>2246</v>
      </c>
      <c r="B163" s="1852" t="s">
        <v>16</v>
      </c>
      <c r="C163" s="1852" t="s">
        <v>2820</v>
      </c>
      <c r="D163" s="1852" t="s">
        <v>2821</v>
      </c>
      <c r="E163" s="1852" t="s">
        <v>2822</v>
      </c>
      <c r="F163" s="1852" t="s">
        <v>2259</v>
      </c>
      <c r="G163" s="1852" t="s">
        <v>22</v>
      </c>
      <c r="H163" s="1852" t="s">
        <v>22</v>
      </c>
      <c r="I163" s="1852" t="s">
        <v>808</v>
      </c>
    </row>
    <row customHeight="1" ht="11.25">
      <c r="A164" s="1852" t="s">
        <v>2246</v>
      </c>
      <c r="B164" s="1852" t="s">
        <v>16</v>
      </c>
      <c r="C164" s="1852" t="s">
        <v>2823</v>
      </c>
      <c r="D164" s="1852" t="s">
        <v>2824</v>
      </c>
      <c r="E164" s="1852" t="s">
        <v>2825</v>
      </c>
      <c r="F164" s="1852" t="s">
        <v>2534</v>
      </c>
      <c r="G164" s="1852" t="s">
        <v>22</v>
      </c>
      <c r="H164" s="1852" t="s">
        <v>22</v>
      </c>
      <c r="I164" s="1852" t="s">
        <v>808</v>
      </c>
    </row>
    <row customHeight="1" ht="11.25">
      <c r="A165" s="1852" t="s">
        <v>2246</v>
      </c>
      <c r="B165" s="1852" t="s">
        <v>16</v>
      </c>
      <c r="C165" s="1852" t="s">
        <v>2826</v>
      </c>
      <c r="D165" s="1852" t="s">
        <v>2827</v>
      </c>
      <c r="E165" s="1852" t="s">
        <v>2828</v>
      </c>
      <c r="F165" s="1852" t="s">
        <v>2524</v>
      </c>
      <c r="G165" s="1852" t="s">
        <v>22</v>
      </c>
      <c r="H165" s="1852" t="s">
        <v>22</v>
      </c>
      <c r="I165" s="1852" t="s">
        <v>808</v>
      </c>
    </row>
    <row customHeight="1" ht="11.25">
      <c r="A166" s="1852" t="s">
        <v>2246</v>
      </c>
      <c r="B166" s="1852" t="s">
        <v>16</v>
      </c>
      <c r="C166" s="1852" t="s">
        <v>2829</v>
      </c>
      <c r="D166" s="1852" t="s">
        <v>2830</v>
      </c>
      <c r="E166" s="1852" t="s">
        <v>2831</v>
      </c>
      <c r="F166" s="1852" t="s">
        <v>2392</v>
      </c>
      <c r="G166" s="1852" t="s">
        <v>22</v>
      </c>
      <c r="H166" s="1852" t="s">
        <v>22</v>
      </c>
      <c r="I166" s="1852" t="s">
        <v>808</v>
      </c>
    </row>
    <row customHeight="1" ht="11.25">
      <c r="A167" s="1852" t="s">
        <v>2246</v>
      </c>
      <c r="B167" s="1852" t="s">
        <v>16</v>
      </c>
      <c r="C167" s="1852" t="s">
        <v>2832</v>
      </c>
      <c r="D167" s="1852" t="s">
        <v>2830</v>
      </c>
      <c r="E167" s="1852" t="s">
        <v>2833</v>
      </c>
      <c r="F167" s="1852" t="s">
        <v>2834</v>
      </c>
      <c r="G167" s="1852" t="s">
        <v>22</v>
      </c>
      <c r="H167" s="1852" t="s">
        <v>22</v>
      </c>
      <c r="I167" s="1852" t="s">
        <v>808</v>
      </c>
    </row>
    <row customHeight="1" ht="11.25">
      <c r="A168" s="1852" t="s">
        <v>2246</v>
      </c>
      <c r="B168" s="1852" t="s">
        <v>16</v>
      </c>
      <c r="C168" s="1852" t="s">
        <v>2835</v>
      </c>
      <c r="D168" s="1852" t="s">
        <v>2836</v>
      </c>
      <c r="E168" s="1852" t="s">
        <v>2837</v>
      </c>
      <c r="F168" s="1852" t="s">
        <v>2259</v>
      </c>
      <c r="G168" s="1852" t="s">
        <v>22</v>
      </c>
      <c r="H168" s="1852" t="s">
        <v>22</v>
      </c>
      <c r="I168" s="1852" t="s">
        <v>808</v>
      </c>
    </row>
    <row customHeight="1" ht="11.25">
      <c r="A169" s="1852" t="s">
        <v>2246</v>
      </c>
      <c r="B169" s="1852" t="s">
        <v>16</v>
      </c>
      <c r="C169" s="1852" t="s">
        <v>2838</v>
      </c>
      <c r="D169" s="1852" t="s">
        <v>2839</v>
      </c>
      <c r="E169" s="1852" t="s">
        <v>2840</v>
      </c>
      <c r="F169" s="1852" t="s">
        <v>2274</v>
      </c>
      <c r="G169" s="1852" t="s">
        <v>22</v>
      </c>
      <c r="H169" s="1852" t="s">
        <v>22</v>
      </c>
      <c r="I169" s="1852" t="s">
        <v>808</v>
      </c>
    </row>
    <row customHeight="1" ht="11.25">
      <c r="A170" s="1852" t="s">
        <v>2246</v>
      </c>
      <c r="B170" s="1852" t="s">
        <v>16</v>
      </c>
      <c r="C170" s="1852" t="s">
        <v>2841</v>
      </c>
      <c r="D170" s="1852" t="s">
        <v>2842</v>
      </c>
      <c r="E170" s="1852" t="s">
        <v>2843</v>
      </c>
      <c r="F170" s="1852" t="s">
        <v>2274</v>
      </c>
      <c r="G170" s="1852" t="s">
        <v>22</v>
      </c>
      <c r="H170" s="1852" t="s">
        <v>22</v>
      </c>
      <c r="I170" s="1852" t="s">
        <v>808</v>
      </c>
    </row>
    <row customHeight="1" ht="11.25">
      <c r="A171" s="1852" t="s">
        <v>2246</v>
      </c>
      <c r="B171" s="1852" t="s">
        <v>16</v>
      </c>
      <c r="C171" s="1852" t="s">
        <v>2844</v>
      </c>
      <c r="D171" s="1852" t="s">
        <v>2845</v>
      </c>
      <c r="E171" s="1852" t="s">
        <v>2846</v>
      </c>
      <c r="F171" s="1852" t="s">
        <v>2392</v>
      </c>
      <c r="G171" s="1852" t="s">
        <v>22</v>
      </c>
      <c r="H171" s="1852" t="s">
        <v>22</v>
      </c>
      <c r="I171" s="1852" t="s">
        <v>808</v>
      </c>
    </row>
    <row customHeight="1" ht="11.25">
      <c r="A172" s="1852" t="s">
        <v>2246</v>
      </c>
      <c r="B172" s="1852" t="s">
        <v>16</v>
      </c>
      <c r="C172" s="1852" t="s">
        <v>2847</v>
      </c>
      <c r="D172" s="1852" t="s">
        <v>2848</v>
      </c>
      <c r="E172" s="1852" t="s">
        <v>2849</v>
      </c>
      <c r="F172" s="1852" t="s">
        <v>2326</v>
      </c>
      <c r="G172" s="1852" t="s">
        <v>2850</v>
      </c>
      <c r="H172" s="1852" t="s">
        <v>22</v>
      </c>
      <c r="I172" s="1852" t="s">
        <v>808</v>
      </c>
    </row>
    <row customHeight="1" ht="11.25">
      <c r="A173" s="1852" t="s">
        <v>2246</v>
      </c>
      <c r="B173" s="1852" t="s">
        <v>16</v>
      </c>
      <c r="C173" s="1852" t="s">
        <v>2851</v>
      </c>
      <c r="D173" s="1852" t="s">
        <v>2852</v>
      </c>
      <c r="E173" s="1852" t="s">
        <v>2853</v>
      </c>
      <c r="F173" s="1852" t="s">
        <v>2274</v>
      </c>
      <c r="G173" s="1852" t="s">
        <v>22</v>
      </c>
      <c r="H173" s="1852" t="s">
        <v>22</v>
      </c>
      <c r="I173" s="1852" t="s">
        <v>808</v>
      </c>
    </row>
    <row customHeight="1" ht="11.25">
      <c r="A174" s="1852" t="s">
        <v>2246</v>
      </c>
      <c r="B174" s="1852" t="s">
        <v>16</v>
      </c>
      <c r="C174" s="1852" t="s">
        <v>2854</v>
      </c>
      <c r="D174" s="1852" t="s">
        <v>2855</v>
      </c>
      <c r="E174" s="1852" t="s">
        <v>2856</v>
      </c>
      <c r="F174" s="1852" t="s">
        <v>2341</v>
      </c>
      <c r="G174" s="1852" t="s">
        <v>22</v>
      </c>
      <c r="H174" s="1852" t="s">
        <v>22</v>
      </c>
      <c r="I174" s="1852" t="s">
        <v>808</v>
      </c>
    </row>
    <row customHeight="1" ht="11.25">
      <c r="A175" s="1852" t="s">
        <v>2246</v>
      </c>
      <c r="B175" s="1852" t="s">
        <v>16</v>
      </c>
      <c r="C175" s="1852" t="s">
        <v>2857</v>
      </c>
      <c r="D175" s="1852" t="s">
        <v>2858</v>
      </c>
      <c r="E175" s="1852" t="s">
        <v>2859</v>
      </c>
      <c r="F175" s="1852" t="s">
        <v>2860</v>
      </c>
      <c r="G175" s="1852" t="s">
        <v>2861</v>
      </c>
      <c r="H175" s="1852" t="s">
        <v>22</v>
      </c>
      <c r="I175" s="1852" t="s">
        <v>808</v>
      </c>
    </row>
    <row customHeight="1" ht="11.25">
      <c r="A176" s="1852" t="s">
        <v>2246</v>
      </c>
      <c r="B176" s="1852" t="s">
        <v>16</v>
      </c>
      <c r="C176" s="1852" t="s">
        <v>2862</v>
      </c>
      <c r="D176" s="1852" t="s">
        <v>2863</v>
      </c>
      <c r="E176" s="1852" t="s">
        <v>2864</v>
      </c>
      <c r="F176" s="1852" t="s">
        <v>2534</v>
      </c>
      <c r="G176" s="1852" t="s">
        <v>22</v>
      </c>
      <c r="H176" s="1852" t="s">
        <v>22</v>
      </c>
      <c r="I176" s="1852" t="s">
        <v>808</v>
      </c>
    </row>
    <row customHeight="1" ht="11.25">
      <c r="A177" s="1852" t="s">
        <v>2246</v>
      </c>
      <c r="B177" s="1852" t="s">
        <v>16</v>
      </c>
      <c r="C177" s="1852" t="s">
        <v>2865</v>
      </c>
      <c r="D177" s="1852" t="s">
        <v>2866</v>
      </c>
      <c r="E177" s="1852" t="s">
        <v>2867</v>
      </c>
      <c r="F177" s="1852" t="s">
        <v>2259</v>
      </c>
      <c r="G177" s="1852" t="s">
        <v>22</v>
      </c>
      <c r="H177" s="1852" t="s">
        <v>22</v>
      </c>
      <c r="I177" s="1852" t="s">
        <v>808</v>
      </c>
    </row>
    <row customHeight="1" ht="11.25">
      <c r="A178" s="1852" t="s">
        <v>2246</v>
      </c>
      <c r="B178" s="1852" t="s">
        <v>16</v>
      </c>
      <c r="C178" s="1852" t="s">
        <v>2868</v>
      </c>
      <c r="D178" s="1852" t="s">
        <v>2869</v>
      </c>
      <c r="E178" s="1852" t="s">
        <v>2870</v>
      </c>
      <c r="F178" s="1852" t="s">
        <v>2534</v>
      </c>
      <c r="G178" s="1852" t="s">
        <v>22</v>
      </c>
      <c r="H178" s="1852" t="s">
        <v>22</v>
      </c>
      <c r="I178" s="1852" t="s">
        <v>808</v>
      </c>
    </row>
    <row customHeight="1" ht="11.25">
      <c r="A179" s="1852" t="s">
        <v>2246</v>
      </c>
      <c r="B179" s="1852" t="s">
        <v>16</v>
      </c>
      <c r="C179" s="1852" t="s">
        <v>2871</v>
      </c>
      <c r="D179" s="1852" t="s">
        <v>2872</v>
      </c>
      <c r="E179" s="1852" t="s">
        <v>2873</v>
      </c>
      <c r="F179" s="1852" t="s">
        <v>2365</v>
      </c>
      <c r="G179" s="1852" t="s">
        <v>22</v>
      </c>
      <c r="H179" s="1852" t="s">
        <v>22</v>
      </c>
      <c r="I179" s="1852" t="s">
        <v>808</v>
      </c>
    </row>
    <row customHeight="1" ht="11.25">
      <c r="A180" s="1852" t="s">
        <v>2246</v>
      </c>
      <c r="B180" s="1852" t="s">
        <v>16</v>
      </c>
      <c r="C180" s="1852" t="s">
        <v>2874</v>
      </c>
      <c r="D180" s="1852" t="s">
        <v>2875</v>
      </c>
      <c r="E180" s="1852" t="s">
        <v>2876</v>
      </c>
      <c r="F180" s="1852" t="s">
        <v>2369</v>
      </c>
      <c r="G180" s="1852" t="s">
        <v>22</v>
      </c>
      <c r="H180" s="1852" t="s">
        <v>22</v>
      </c>
      <c r="I180" s="1852" t="s">
        <v>808</v>
      </c>
    </row>
    <row customHeight="1" ht="11.25">
      <c r="A181" s="1852" t="s">
        <v>2246</v>
      </c>
      <c r="B181" s="1852" t="s">
        <v>16</v>
      </c>
      <c r="C181" s="1852" t="s">
        <v>2877</v>
      </c>
      <c r="D181" s="1852" t="s">
        <v>2878</v>
      </c>
      <c r="E181" s="1852" t="s">
        <v>2879</v>
      </c>
      <c r="F181" s="1852" t="s">
        <v>2365</v>
      </c>
      <c r="G181" s="1852" t="s">
        <v>22</v>
      </c>
      <c r="H181" s="1852" t="s">
        <v>22</v>
      </c>
      <c r="I181" s="1852" t="s">
        <v>808</v>
      </c>
    </row>
    <row customHeight="1" ht="11.25">
      <c r="A182" s="1852" t="s">
        <v>2246</v>
      </c>
      <c r="B182" s="1852" t="s">
        <v>16</v>
      </c>
      <c r="C182" s="1852" t="s">
        <v>2880</v>
      </c>
      <c r="D182" s="1852" t="s">
        <v>2881</v>
      </c>
      <c r="E182" s="1852" t="s">
        <v>2882</v>
      </c>
      <c r="F182" s="1852" t="s">
        <v>2259</v>
      </c>
      <c r="G182" s="1852" t="s">
        <v>2520</v>
      </c>
      <c r="H182" s="1852" t="s">
        <v>22</v>
      </c>
      <c r="I182" s="1852" t="s">
        <v>808</v>
      </c>
    </row>
    <row customHeight="1" ht="11.25">
      <c r="A183" s="1852" t="s">
        <v>2246</v>
      </c>
      <c r="B183" s="1852" t="s">
        <v>16</v>
      </c>
      <c r="C183" s="1852" t="s">
        <v>2883</v>
      </c>
      <c r="D183" s="1852" t="s">
        <v>2884</v>
      </c>
      <c r="E183" s="1852" t="s">
        <v>2885</v>
      </c>
      <c r="F183" s="1852" t="s">
        <v>2592</v>
      </c>
      <c r="G183" s="1852" t="s">
        <v>22</v>
      </c>
      <c r="H183" s="1852" t="s">
        <v>22</v>
      </c>
      <c r="I183" s="1852" t="s">
        <v>808</v>
      </c>
    </row>
    <row customHeight="1" ht="11.25">
      <c r="A184" s="1852" t="s">
        <v>2246</v>
      </c>
      <c r="B184" s="1852" t="s">
        <v>16</v>
      </c>
      <c r="C184" s="1852" t="s">
        <v>2886</v>
      </c>
      <c r="D184" s="1852" t="s">
        <v>2887</v>
      </c>
      <c r="E184" s="1852" t="s">
        <v>2888</v>
      </c>
      <c r="F184" s="1852" t="s">
        <v>2534</v>
      </c>
      <c r="G184" s="1852" t="s">
        <v>22</v>
      </c>
      <c r="H184" s="1852" t="s">
        <v>22</v>
      </c>
      <c r="I184" s="1852" t="s">
        <v>808</v>
      </c>
    </row>
    <row customHeight="1" ht="11.25">
      <c r="A185" s="1852" t="s">
        <v>2246</v>
      </c>
      <c r="B185" s="1852" t="s">
        <v>16</v>
      </c>
      <c r="C185" s="1852" t="s">
        <v>2889</v>
      </c>
      <c r="D185" s="1852" t="s">
        <v>2890</v>
      </c>
      <c r="E185" s="1852" t="s">
        <v>2891</v>
      </c>
      <c r="F185" s="1852" t="s">
        <v>2554</v>
      </c>
      <c r="G185" s="1852" t="s">
        <v>22</v>
      </c>
      <c r="H185" s="1852" t="s">
        <v>22</v>
      </c>
      <c r="I185" s="1852" t="s">
        <v>808</v>
      </c>
    </row>
    <row customHeight="1" ht="11.25">
      <c r="A186" s="1852" t="s">
        <v>2246</v>
      </c>
      <c r="B186" s="1852" t="s">
        <v>16</v>
      </c>
      <c r="C186" s="1852" t="s">
        <v>2892</v>
      </c>
      <c r="D186" s="1852" t="s">
        <v>2893</v>
      </c>
      <c r="E186" s="1852" t="s">
        <v>2894</v>
      </c>
      <c r="F186" s="1852" t="s">
        <v>2515</v>
      </c>
      <c r="G186" s="1852" t="s">
        <v>22</v>
      </c>
      <c r="H186" s="1852" t="s">
        <v>22</v>
      </c>
      <c r="I186" s="1852" t="s">
        <v>808</v>
      </c>
    </row>
    <row customHeight="1" ht="11.25">
      <c r="A187" s="1852" t="s">
        <v>2246</v>
      </c>
      <c r="B187" s="1852" t="s">
        <v>16</v>
      </c>
      <c r="C187" s="1852" t="s">
        <v>2895</v>
      </c>
      <c r="D187" s="1852" t="s">
        <v>2896</v>
      </c>
      <c r="E187" s="1852" t="s">
        <v>2897</v>
      </c>
      <c r="F187" s="1852" t="s">
        <v>2392</v>
      </c>
      <c r="G187" s="1852" t="s">
        <v>22</v>
      </c>
      <c r="H187" s="1852" t="s">
        <v>22</v>
      </c>
      <c r="I187" s="1852" t="s">
        <v>808</v>
      </c>
    </row>
    <row customHeight="1" ht="11.25">
      <c r="A188" s="1852" t="s">
        <v>2246</v>
      </c>
      <c r="B188" s="1852" t="s">
        <v>16</v>
      </c>
      <c r="C188" s="1852" t="s">
        <v>2898</v>
      </c>
      <c r="D188" s="1852" t="s">
        <v>2899</v>
      </c>
      <c r="E188" s="1852" t="s">
        <v>2900</v>
      </c>
      <c r="F188" s="1852" t="s">
        <v>2274</v>
      </c>
      <c r="G188" s="1852" t="s">
        <v>22</v>
      </c>
      <c r="H188" s="1852" t="s">
        <v>22</v>
      </c>
      <c r="I188" s="1852" t="s">
        <v>808</v>
      </c>
    </row>
    <row customHeight="1" ht="11.25">
      <c r="A189" s="1852" t="s">
        <v>2246</v>
      </c>
      <c r="B189" s="1852" t="s">
        <v>16</v>
      </c>
      <c r="C189" s="1852" t="s">
        <v>2901</v>
      </c>
      <c r="D189" s="1852" t="s">
        <v>2902</v>
      </c>
      <c r="E189" s="1852" t="s">
        <v>2903</v>
      </c>
      <c r="F189" s="1852" t="s">
        <v>2759</v>
      </c>
      <c r="G189" s="1852" t="s">
        <v>22</v>
      </c>
      <c r="H189" s="1852" t="s">
        <v>22</v>
      </c>
      <c r="I189" s="1852" t="s">
        <v>808</v>
      </c>
    </row>
    <row customHeight="1" ht="11.25">
      <c r="A190" s="1852" t="s">
        <v>2246</v>
      </c>
      <c r="B190" s="1852" t="s">
        <v>16</v>
      </c>
      <c r="C190" s="1852" t="s">
        <v>2904</v>
      </c>
      <c r="D190" s="1852" t="s">
        <v>2905</v>
      </c>
      <c r="E190" s="1852" t="s">
        <v>2906</v>
      </c>
      <c r="F190" s="1852" t="s">
        <v>2373</v>
      </c>
      <c r="G190" s="1852" t="s">
        <v>22</v>
      </c>
      <c r="H190" s="1852" t="s">
        <v>22</v>
      </c>
      <c r="I190" s="1852" t="s">
        <v>808</v>
      </c>
    </row>
    <row customHeight="1" ht="11.25">
      <c r="A191" s="1852" t="s">
        <v>2246</v>
      </c>
      <c r="B191" s="1852" t="s">
        <v>16</v>
      </c>
      <c r="C191" s="1852" t="s">
        <v>2907</v>
      </c>
      <c r="D191" s="1852" t="s">
        <v>2908</v>
      </c>
      <c r="E191" s="1852" t="s">
        <v>2909</v>
      </c>
      <c r="F191" s="1852" t="s">
        <v>2326</v>
      </c>
      <c r="G191" s="1852" t="s">
        <v>22</v>
      </c>
      <c r="H191" s="1852" t="s">
        <v>22</v>
      </c>
      <c r="I191" s="1852" t="s">
        <v>808</v>
      </c>
    </row>
    <row customHeight="1" ht="11.25">
      <c r="A192" s="1852" t="s">
        <v>2246</v>
      </c>
      <c r="B192" s="1852" t="s">
        <v>16</v>
      </c>
      <c r="C192" s="1852" t="s">
        <v>2910</v>
      </c>
      <c r="D192" s="1852" t="s">
        <v>2911</v>
      </c>
      <c r="E192" s="1852" t="s">
        <v>2912</v>
      </c>
      <c r="F192" s="1852" t="s">
        <v>2318</v>
      </c>
      <c r="G192" s="1852" t="s">
        <v>22</v>
      </c>
      <c r="H192" s="1852" t="s">
        <v>2565</v>
      </c>
      <c r="I192" s="1852" t="s">
        <v>808</v>
      </c>
    </row>
    <row customHeight="1" ht="11.25">
      <c r="A193" s="1852" t="s">
        <v>2246</v>
      </c>
      <c r="B193" s="1852" t="s">
        <v>16</v>
      </c>
      <c r="C193" s="1852" t="s">
        <v>2913</v>
      </c>
      <c r="D193" s="1852" t="s">
        <v>2914</v>
      </c>
      <c r="E193" s="1852" t="s">
        <v>2915</v>
      </c>
      <c r="F193" s="1852" t="s">
        <v>2534</v>
      </c>
      <c r="G193" s="1852" t="s">
        <v>22</v>
      </c>
      <c r="H193" s="1852" t="s">
        <v>22</v>
      </c>
      <c r="I193" s="1852" t="s">
        <v>808</v>
      </c>
    </row>
    <row customHeight="1" ht="11.25">
      <c r="A194" s="1852" t="s">
        <v>2246</v>
      </c>
      <c r="B194" s="1852" t="s">
        <v>16</v>
      </c>
      <c r="C194" s="1852" t="s">
        <v>2916</v>
      </c>
      <c r="D194" s="1852" t="s">
        <v>2917</v>
      </c>
      <c r="E194" s="1852" t="s">
        <v>2918</v>
      </c>
      <c r="F194" s="1852" t="s">
        <v>2274</v>
      </c>
      <c r="G194" s="1852" t="s">
        <v>22</v>
      </c>
      <c r="H194" s="1852" t="s">
        <v>22</v>
      </c>
      <c r="I194" s="1852" t="s">
        <v>808</v>
      </c>
    </row>
    <row customHeight="1" ht="11.25">
      <c r="A195" s="1852" t="s">
        <v>2246</v>
      </c>
      <c r="B195" s="1852" t="s">
        <v>16</v>
      </c>
      <c r="C195" s="1852" t="s">
        <v>2919</v>
      </c>
      <c r="D195" s="1852" t="s">
        <v>2920</v>
      </c>
      <c r="E195" s="1852" t="s">
        <v>2921</v>
      </c>
      <c r="F195" s="1852" t="s">
        <v>2588</v>
      </c>
      <c r="G195" s="1852" t="s">
        <v>22</v>
      </c>
      <c r="H195" s="1852" t="s">
        <v>22</v>
      </c>
      <c r="I195" s="1852" t="s">
        <v>808</v>
      </c>
    </row>
    <row customHeight="1" ht="11.25">
      <c r="A196" s="1852" t="s">
        <v>2246</v>
      </c>
      <c r="B196" s="1852" t="s">
        <v>16</v>
      </c>
      <c r="C196" s="1852" t="s">
        <v>2922</v>
      </c>
      <c r="D196" s="1852" t="s">
        <v>2923</v>
      </c>
      <c r="E196" s="1852" t="s">
        <v>2924</v>
      </c>
      <c r="F196" s="1852" t="s">
        <v>2351</v>
      </c>
      <c r="G196" s="1852" t="s">
        <v>22</v>
      </c>
      <c r="H196" s="1852" t="s">
        <v>22</v>
      </c>
      <c r="I196" s="1852" t="s">
        <v>808</v>
      </c>
    </row>
    <row customHeight="1" ht="11.25">
      <c r="A197" s="1852" t="s">
        <v>2246</v>
      </c>
      <c r="B197" s="1852" t="s">
        <v>16</v>
      </c>
      <c r="C197" s="1852" t="s">
        <v>2925</v>
      </c>
      <c r="D197" s="1852" t="s">
        <v>2926</v>
      </c>
      <c r="E197" s="1852" t="s">
        <v>2927</v>
      </c>
      <c r="F197" s="1852" t="s">
        <v>2373</v>
      </c>
      <c r="G197" s="1852" t="s">
        <v>22</v>
      </c>
      <c r="H197" s="1852" t="s">
        <v>22</v>
      </c>
      <c r="I197" s="1852" t="s">
        <v>808</v>
      </c>
    </row>
    <row customHeight="1" ht="11.25">
      <c r="A198" s="1852" t="s">
        <v>2246</v>
      </c>
      <c r="B198" s="1852" t="s">
        <v>16</v>
      </c>
      <c r="C198" s="1852" t="s">
        <v>2928</v>
      </c>
      <c r="D198" s="1852" t="s">
        <v>2929</v>
      </c>
      <c r="E198" s="1852" t="s">
        <v>2930</v>
      </c>
      <c r="F198" s="1852" t="s">
        <v>2318</v>
      </c>
      <c r="G198" s="1852" t="s">
        <v>2931</v>
      </c>
      <c r="H198" s="1852" t="s">
        <v>22</v>
      </c>
      <c r="I198" s="1852" t="s">
        <v>808</v>
      </c>
    </row>
    <row customHeight="1" ht="11.25">
      <c r="A199" s="1852" t="s">
        <v>2246</v>
      </c>
      <c r="B199" s="1852" t="s">
        <v>16</v>
      </c>
      <c r="C199" s="1852" t="s">
        <v>2932</v>
      </c>
      <c r="D199" s="1852" t="s">
        <v>2933</v>
      </c>
      <c r="E199" s="1852" t="s">
        <v>2934</v>
      </c>
      <c r="F199" s="1852" t="s">
        <v>2259</v>
      </c>
      <c r="G199" s="1852" t="s">
        <v>22</v>
      </c>
      <c r="H199" s="1852" t="s">
        <v>22</v>
      </c>
      <c r="I199" s="1852" t="s">
        <v>808</v>
      </c>
    </row>
    <row customHeight="1" ht="11.25">
      <c r="A200" s="1852" t="s">
        <v>2246</v>
      </c>
      <c r="B200" s="1852" t="s">
        <v>16</v>
      </c>
      <c r="C200" s="1852" t="s">
        <v>2935</v>
      </c>
      <c r="D200" s="1852" t="s">
        <v>2936</v>
      </c>
      <c r="E200" s="1852" t="s">
        <v>2937</v>
      </c>
      <c r="F200" s="1852" t="s">
        <v>2333</v>
      </c>
      <c r="G200" s="1852" t="s">
        <v>22</v>
      </c>
      <c r="H200" s="1852" t="s">
        <v>22</v>
      </c>
      <c r="I200" s="1852" t="s">
        <v>808</v>
      </c>
    </row>
    <row customHeight="1" ht="11.25">
      <c r="A201" s="1852" t="s">
        <v>2246</v>
      </c>
      <c r="B201" s="1852" t="s">
        <v>16</v>
      </c>
      <c r="C201" s="1852" t="s">
        <v>2938</v>
      </c>
      <c r="D201" s="1852" t="s">
        <v>2939</v>
      </c>
      <c r="E201" s="1852" t="s">
        <v>2940</v>
      </c>
      <c r="F201" s="1852" t="s">
        <v>2669</v>
      </c>
      <c r="G201" s="1852" t="s">
        <v>22</v>
      </c>
      <c r="H201" s="1852" t="s">
        <v>22</v>
      </c>
      <c r="I201" s="1852" t="s">
        <v>808</v>
      </c>
    </row>
    <row customHeight="1" ht="11.25">
      <c r="A202" s="1852" t="s">
        <v>2246</v>
      </c>
      <c r="B202" s="1852" t="s">
        <v>16</v>
      </c>
      <c r="C202" s="1852" t="s">
        <v>2941</v>
      </c>
      <c r="D202" s="1852" t="s">
        <v>2942</v>
      </c>
      <c r="E202" s="1852" t="s">
        <v>2943</v>
      </c>
      <c r="F202" s="1852" t="s">
        <v>2669</v>
      </c>
      <c r="G202" s="1852" t="s">
        <v>22</v>
      </c>
      <c r="H202" s="1852" t="s">
        <v>22</v>
      </c>
      <c r="I202" s="1852" t="s">
        <v>808</v>
      </c>
    </row>
    <row customHeight="1" ht="11.25">
      <c r="A203" s="1852" t="s">
        <v>2246</v>
      </c>
      <c r="B203" s="1852" t="s">
        <v>16</v>
      </c>
      <c r="C203" s="1852" t="s">
        <v>2944</v>
      </c>
      <c r="D203" s="1852" t="s">
        <v>2945</v>
      </c>
      <c r="E203" s="1852" t="s">
        <v>2946</v>
      </c>
      <c r="F203" s="1852" t="s">
        <v>2274</v>
      </c>
      <c r="G203" s="1852" t="s">
        <v>2947</v>
      </c>
      <c r="H203" s="1852" t="s">
        <v>22</v>
      </c>
      <c r="I203" s="1852" t="s">
        <v>808</v>
      </c>
    </row>
    <row customHeight="1" ht="11.25">
      <c r="A204" s="1852" t="s">
        <v>2246</v>
      </c>
      <c r="B204" s="1852" t="s">
        <v>16</v>
      </c>
      <c r="C204" s="1852" t="s">
        <v>2948</v>
      </c>
      <c r="D204" s="1852" t="s">
        <v>2949</v>
      </c>
      <c r="E204" s="1852" t="s">
        <v>2950</v>
      </c>
      <c r="F204" s="1852" t="s">
        <v>2326</v>
      </c>
      <c r="G204" s="1852" t="s">
        <v>2951</v>
      </c>
      <c r="H204" s="1852" t="s">
        <v>22</v>
      </c>
      <c r="I204" s="1852" t="s">
        <v>808</v>
      </c>
    </row>
    <row customHeight="1" ht="11.25">
      <c r="A205" s="1852" t="s">
        <v>2246</v>
      </c>
      <c r="B205" s="1852" t="s">
        <v>16</v>
      </c>
      <c r="C205" s="1852" t="s">
        <v>2952</v>
      </c>
      <c r="D205" s="1852" t="s">
        <v>2953</v>
      </c>
      <c r="E205" s="1852" t="s">
        <v>2954</v>
      </c>
      <c r="F205" s="1852" t="s">
        <v>2333</v>
      </c>
      <c r="G205" s="1852" t="s">
        <v>2955</v>
      </c>
      <c r="H205" s="1852" t="s">
        <v>22</v>
      </c>
      <c r="I205" s="1852" t="s">
        <v>808</v>
      </c>
    </row>
    <row customHeight="1" ht="11.25">
      <c r="A206" s="1852" t="s">
        <v>2246</v>
      </c>
      <c r="B206" s="1852" t="s">
        <v>16</v>
      </c>
      <c r="C206" s="1852" t="s">
        <v>2956</v>
      </c>
      <c r="D206" s="1852" t="s">
        <v>2957</v>
      </c>
      <c r="E206" s="1852" t="s">
        <v>2958</v>
      </c>
      <c r="F206" s="1852" t="s">
        <v>2274</v>
      </c>
      <c r="G206" s="1852" t="s">
        <v>22</v>
      </c>
      <c r="H206" s="1852" t="s">
        <v>22</v>
      </c>
      <c r="I206" s="1852" t="s">
        <v>808</v>
      </c>
    </row>
    <row customHeight="1" ht="11.25">
      <c r="A207" s="1852" t="s">
        <v>2246</v>
      </c>
      <c r="B207" s="1852" t="s">
        <v>16</v>
      </c>
      <c r="C207" s="1852" t="s">
        <v>2959</v>
      </c>
      <c r="D207" s="1852" t="s">
        <v>2960</v>
      </c>
      <c r="E207" s="1852" t="s">
        <v>2961</v>
      </c>
      <c r="F207" s="1852" t="s">
        <v>2541</v>
      </c>
      <c r="G207" s="1852" t="s">
        <v>22</v>
      </c>
      <c r="H207" s="1852" t="s">
        <v>22</v>
      </c>
      <c r="I207" s="1852" t="s">
        <v>808</v>
      </c>
    </row>
    <row customHeight="1" ht="11.25">
      <c r="A208" s="1852" t="s">
        <v>2246</v>
      </c>
      <c r="B208" s="1852" t="s">
        <v>16</v>
      </c>
      <c r="C208" s="1852" t="s">
        <v>2962</v>
      </c>
      <c r="D208" s="1852" t="s">
        <v>2963</v>
      </c>
      <c r="E208" s="1852" t="s">
        <v>2964</v>
      </c>
      <c r="F208" s="1852" t="s">
        <v>2250</v>
      </c>
      <c r="G208" s="1852" t="s">
        <v>22</v>
      </c>
      <c r="H208" s="1852" t="s">
        <v>22</v>
      </c>
      <c r="I208" s="1852" t="s">
        <v>808</v>
      </c>
    </row>
    <row customHeight="1" ht="11.25">
      <c r="A209" s="1852" t="s">
        <v>2246</v>
      </c>
      <c r="B209" s="1852" t="s">
        <v>16</v>
      </c>
      <c r="C209" s="1852" t="s">
        <v>2965</v>
      </c>
      <c r="D209" s="1852" t="s">
        <v>2966</v>
      </c>
      <c r="E209" s="1852" t="s">
        <v>2967</v>
      </c>
      <c r="F209" s="1852" t="s">
        <v>2274</v>
      </c>
      <c r="G209" s="1852" t="s">
        <v>22</v>
      </c>
      <c r="H209" s="1852" t="s">
        <v>22</v>
      </c>
      <c r="I209" s="1852" t="s">
        <v>808</v>
      </c>
    </row>
    <row customHeight="1" ht="11.25">
      <c r="A210" s="1852" t="s">
        <v>2246</v>
      </c>
      <c r="B210" s="1852" t="s">
        <v>16</v>
      </c>
      <c r="C210" s="1852" t="s">
        <v>2968</v>
      </c>
      <c r="D210" s="1852" t="s">
        <v>2969</v>
      </c>
      <c r="E210" s="1852" t="s">
        <v>2970</v>
      </c>
      <c r="F210" s="1852" t="s">
        <v>2618</v>
      </c>
      <c r="G210" s="1852" t="s">
        <v>22</v>
      </c>
      <c r="H210" s="1852" t="s">
        <v>22</v>
      </c>
      <c r="I210" s="1852" t="s">
        <v>808</v>
      </c>
    </row>
    <row customHeight="1" ht="11.25">
      <c r="A211" s="1852" t="s">
        <v>2246</v>
      </c>
      <c r="B211" s="1852" t="s">
        <v>16</v>
      </c>
      <c r="C211" s="1852" t="s">
        <v>2971</v>
      </c>
      <c r="D211" s="1852" t="s">
        <v>2969</v>
      </c>
      <c r="E211" s="1852" t="s">
        <v>2972</v>
      </c>
      <c r="F211" s="1852" t="s">
        <v>2534</v>
      </c>
      <c r="G211" s="1852" t="s">
        <v>2973</v>
      </c>
      <c r="H211" s="1852" t="s">
        <v>22</v>
      </c>
      <c r="I211" s="1852" t="s">
        <v>808</v>
      </c>
    </row>
    <row customHeight="1" ht="11.25">
      <c r="A212" s="1852" t="s">
        <v>2246</v>
      </c>
      <c r="B212" s="1852" t="s">
        <v>16</v>
      </c>
      <c r="C212" s="1852" t="s">
        <v>2974</v>
      </c>
      <c r="D212" s="1852" t="s">
        <v>2975</v>
      </c>
      <c r="E212" s="1852" t="s">
        <v>2976</v>
      </c>
      <c r="F212" s="1852" t="s">
        <v>2623</v>
      </c>
      <c r="G212" s="1852" t="s">
        <v>22</v>
      </c>
      <c r="H212" s="1852" t="s">
        <v>22</v>
      </c>
      <c r="I212" s="1852" t="s">
        <v>808</v>
      </c>
    </row>
    <row customHeight="1" ht="11.25">
      <c r="A213" s="1852" t="s">
        <v>2246</v>
      </c>
      <c r="B213" s="1852" t="s">
        <v>16</v>
      </c>
      <c r="C213" s="1852" t="s">
        <v>2977</v>
      </c>
      <c r="D213" s="1852" t="s">
        <v>2978</v>
      </c>
      <c r="E213" s="1852" t="s">
        <v>2979</v>
      </c>
      <c r="F213" s="1852" t="s">
        <v>2494</v>
      </c>
      <c r="G213" s="1852" t="s">
        <v>22</v>
      </c>
      <c r="H213" s="1852" t="s">
        <v>22</v>
      </c>
      <c r="I213" s="1852" t="s">
        <v>808</v>
      </c>
    </row>
    <row customHeight="1" ht="11.25">
      <c r="A214" s="1852" t="s">
        <v>2246</v>
      </c>
      <c r="B214" s="1852" t="s">
        <v>16</v>
      </c>
      <c r="C214" s="1852" t="s">
        <v>2980</v>
      </c>
      <c r="D214" s="1852" t="s">
        <v>2981</v>
      </c>
      <c r="E214" s="1852" t="s">
        <v>2982</v>
      </c>
      <c r="F214" s="1852" t="s">
        <v>2373</v>
      </c>
      <c r="G214" s="1852" t="s">
        <v>22</v>
      </c>
      <c r="H214" s="1852" t="s">
        <v>22</v>
      </c>
      <c r="I214" s="1852" t="s">
        <v>808</v>
      </c>
    </row>
    <row customHeight="1" ht="11.25">
      <c r="A215" s="1852" t="s">
        <v>2246</v>
      </c>
      <c r="B215" s="1852" t="s">
        <v>16</v>
      </c>
      <c r="C215" s="1852" t="s">
        <v>2983</v>
      </c>
      <c r="D215" s="1852" t="s">
        <v>2984</v>
      </c>
      <c r="E215" s="1852" t="s">
        <v>2985</v>
      </c>
      <c r="F215" s="1852" t="s">
        <v>2274</v>
      </c>
      <c r="G215" s="1852" t="s">
        <v>22</v>
      </c>
      <c r="H215" s="1852" t="s">
        <v>22</v>
      </c>
      <c r="I215" s="1852" t="s">
        <v>808</v>
      </c>
    </row>
    <row customHeight="1" ht="11.25">
      <c r="A216" s="1852" t="s">
        <v>2246</v>
      </c>
      <c r="B216" s="1852" t="s">
        <v>16</v>
      </c>
      <c r="C216" s="1852" t="s">
        <v>2986</v>
      </c>
      <c r="D216" s="1852" t="s">
        <v>2987</v>
      </c>
      <c r="E216" s="1852" t="s">
        <v>2988</v>
      </c>
      <c r="F216" s="1852" t="s">
        <v>2613</v>
      </c>
      <c r="G216" s="1852" t="s">
        <v>22</v>
      </c>
      <c r="H216" s="1852" t="s">
        <v>22</v>
      </c>
      <c r="I216" s="1852" t="s">
        <v>808</v>
      </c>
    </row>
    <row customHeight="1" ht="11.25">
      <c r="A217" s="1852" t="s">
        <v>2246</v>
      </c>
      <c r="B217" s="1852" t="s">
        <v>16</v>
      </c>
      <c r="C217" s="1852" t="s">
        <v>2989</v>
      </c>
      <c r="D217" s="1852" t="s">
        <v>2990</v>
      </c>
      <c r="E217" s="1852" t="s">
        <v>2991</v>
      </c>
      <c r="F217" s="1852" t="s">
        <v>2373</v>
      </c>
      <c r="G217" s="1852" t="s">
        <v>22</v>
      </c>
      <c r="H217" s="1852" t="s">
        <v>22</v>
      </c>
      <c r="I217" s="1852" t="s">
        <v>808</v>
      </c>
    </row>
    <row customHeight="1" ht="11.25">
      <c r="A218" s="1852" t="s">
        <v>2246</v>
      </c>
      <c r="B218" s="1852" t="s">
        <v>16</v>
      </c>
      <c r="C218" s="1852" t="s">
        <v>2992</v>
      </c>
      <c r="D218" s="1852" t="s">
        <v>2993</v>
      </c>
      <c r="E218" s="1852" t="s">
        <v>2994</v>
      </c>
      <c r="F218" s="1852" t="s">
        <v>2274</v>
      </c>
      <c r="G218" s="1852" t="s">
        <v>22</v>
      </c>
      <c r="H218" s="1852" t="s">
        <v>22</v>
      </c>
      <c r="I218" s="1852" t="s">
        <v>808</v>
      </c>
    </row>
    <row customHeight="1" ht="11.25">
      <c r="A219" s="1852" t="s">
        <v>2246</v>
      </c>
      <c r="B219" s="1852" t="s">
        <v>16</v>
      </c>
      <c r="C219" s="1852" t="s">
        <v>2995</v>
      </c>
      <c r="D219" s="1852" t="s">
        <v>2996</v>
      </c>
      <c r="E219" s="1852" t="s">
        <v>2997</v>
      </c>
      <c r="F219" s="1852" t="s">
        <v>2326</v>
      </c>
      <c r="G219" s="1852" t="s">
        <v>2998</v>
      </c>
      <c r="H219" s="1852" t="s">
        <v>22</v>
      </c>
      <c r="I219" s="1852" t="s">
        <v>808</v>
      </c>
    </row>
    <row customHeight="1" ht="11.25">
      <c r="A220" s="1852" t="s">
        <v>2246</v>
      </c>
      <c r="B220" s="1852" t="s">
        <v>16</v>
      </c>
      <c r="C220" s="1852" t="s">
        <v>2999</v>
      </c>
      <c r="D220" s="1852" t="s">
        <v>3000</v>
      </c>
      <c r="E220" s="1852" t="s">
        <v>3001</v>
      </c>
      <c r="F220" s="1852" t="s">
        <v>2534</v>
      </c>
      <c r="G220" s="1852" t="s">
        <v>22</v>
      </c>
      <c r="H220" s="1852" t="s">
        <v>22</v>
      </c>
      <c r="I220" s="1852" t="s">
        <v>808</v>
      </c>
    </row>
    <row customHeight="1" ht="11.25">
      <c r="A221" s="1852" t="s">
        <v>2246</v>
      </c>
      <c r="B221" s="1852" t="s">
        <v>16</v>
      </c>
      <c r="C221" s="1852" t="s">
        <v>3002</v>
      </c>
      <c r="D221" s="1852" t="s">
        <v>3003</v>
      </c>
      <c r="E221" s="1852" t="s">
        <v>3004</v>
      </c>
      <c r="F221" s="1852" t="s">
        <v>2534</v>
      </c>
      <c r="G221" s="1852" t="s">
        <v>22</v>
      </c>
      <c r="H221" s="1852" t="s">
        <v>22</v>
      </c>
      <c r="I221" s="1852" t="s">
        <v>808</v>
      </c>
    </row>
    <row customHeight="1" ht="11.25">
      <c r="A222" s="1852" t="s">
        <v>2246</v>
      </c>
      <c r="B222" s="1852" t="s">
        <v>16</v>
      </c>
      <c r="C222" s="1852" t="s">
        <v>3005</v>
      </c>
      <c r="D222" s="1852" t="s">
        <v>3006</v>
      </c>
      <c r="E222" s="1852" t="s">
        <v>3007</v>
      </c>
      <c r="F222" s="1852" t="s">
        <v>2494</v>
      </c>
      <c r="G222" s="1852" t="s">
        <v>22</v>
      </c>
      <c r="H222" s="1852" t="s">
        <v>22</v>
      </c>
      <c r="I222" s="1852" t="s">
        <v>808</v>
      </c>
    </row>
    <row customHeight="1" ht="11.25">
      <c r="A223" s="1852" t="s">
        <v>2246</v>
      </c>
      <c r="B223" s="1852" t="s">
        <v>16</v>
      </c>
      <c r="C223" s="1852" t="s">
        <v>3008</v>
      </c>
      <c r="D223" s="1852" t="s">
        <v>3009</v>
      </c>
      <c r="E223" s="1852" t="s">
        <v>3010</v>
      </c>
      <c r="F223" s="1852" t="s">
        <v>2524</v>
      </c>
      <c r="G223" s="1852" t="s">
        <v>22</v>
      </c>
      <c r="H223" s="1852" t="s">
        <v>22</v>
      </c>
      <c r="I223" s="1852" t="s">
        <v>808</v>
      </c>
    </row>
    <row customHeight="1" ht="11.25">
      <c r="A224" s="1852" t="s">
        <v>2246</v>
      </c>
      <c r="B224" s="1852" t="s">
        <v>16</v>
      </c>
      <c r="C224" s="1852" t="s">
        <v>3011</v>
      </c>
      <c r="D224" s="1852" t="s">
        <v>3012</v>
      </c>
      <c r="E224" s="1852" t="s">
        <v>3013</v>
      </c>
      <c r="F224" s="1852" t="s">
        <v>2365</v>
      </c>
      <c r="G224" s="1852" t="s">
        <v>22</v>
      </c>
      <c r="H224" s="1852" t="s">
        <v>22</v>
      </c>
      <c r="I224" s="1852" t="s">
        <v>808</v>
      </c>
    </row>
    <row customHeight="1" ht="11.25">
      <c r="A225" s="1852" t="s">
        <v>2246</v>
      </c>
      <c r="B225" s="1852" t="s">
        <v>16</v>
      </c>
      <c r="C225" s="1852" t="s">
        <v>3014</v>
      </c>
      <c r="D225" s="1852" t="s">
        <v>3015</v>
      </c>
      <c r="E225" s="1852" t="s">
        <v>3016</v>
      </c>
      <c r="F225" s="1852" t="s">
        <v>2259</v>
      </c>
      <c r="G225" s="1852" t="s">
        <v>22</v>
      </c>
      <c r="H225" s="1852" t="s">
        <v>22</v>
      </c>
      <c r="I225" s="1852" t="s">
        <v>808</v>
      </c>
    </row>
    <row customHeight="1" ht="11.25">
      <c r="A226" s="1852" t="s">
        <v>2246</v>
      </c>
      <c r="B226" s="1852" t="s">
        <v>16</v>
      </c>
      <c r="C226" s="1852" t="s">
        <v>3017</v>
      </c>
      <c r="D226" s="1852" t="s">
        <v>3018</v>
      </c>
      <c r="E226" s="1852" t="s">
        <v>3019</v>
      </c>
      <c r="F226" s="1852" t="s">
        <v>2759</v>
      </c>
      <c r="G226" s="1852" t="s">
        <v>3020</v>
      </c>
      <c r="H226" s="1852" t="s">
        <v>22</v>
      </c>
      <c r="I226" s="1852" t="s">
        <v>808</v>
      </c>
    </row>
    <row customHeight="1" ht="11.25">
      <c r="A227" s="1852" t="s">
        <v>2246</v>
      </c>
      <c r="B227" s="1852" t="s">
        <v>16</v>
      </c>
      <c r="C227" s="1852" t="s">
        <v>3021</v>
      </c>
      <c r="D227" s="1852" t="s">
        <v>3022</v>
      </c>
      <c r="E227" s="1852" t="s">
        <v>3023</v>
      </c>
      <c r="F227" s="1852" t="s">
        <v>3024</v>
      </c>
      <c r="G227" s="1852" t="s">
        <v>3025</v>
      </c>
      <c r="H227" s="1852" t="s">
        <v>22</v>
      </c>
      <c r="I227" s="1852" t="s">
        <v>808</v>
      </c>
    </row>
    <row customHeight="1" ht="11.25">
      <c r="A228" s="1852" t="s">
        <v>2246</v>
      </c>
      <c r="B228" s="1852" t="s">
        <v>16</v>
      </c>
      <c r="C228" s="1852" t="s">
        <v>3026</v>
      </c>
      <c r="D228" s="1852" t="s">
        <v>3027</v>
      </c>
      <c r="E228" s="1852" t="s">
        <v>3028</v>
      </c>
      <c r="F228" s="1852" t="s">
        <v>2351</v>
      </c>
      <c r="G228" s="1852" t="s">
        <v>22</v>
      </c>
      <c r="H228" s="1852" t="s">
        <v>22</v>
      </c>
      <c r="I228" s="1852" t="s">
        <v>808</v>
      </c>
    </row>
    <row customHeight="1" ht="11.25">
      <c r="A229" s="1852" t="s">
        <v>2246</v>
      </c>
      <c r="B229" s="1852" t="s">
        <v>16</v>
      </c>
      <c r="C229" s="1852" t="s">
        <v>3029</v>
      </c>
      <c r="D229" s="1852" t="s">
        <v>3030</v>
      </c>
      <c r="E229" s="1852" t="s">
        <v>3031</v>
      </c>
      <c r="F229" s="1852" t="s">
        <v>2351</v>
      </c>
      <c r="G229" s="1852" t="s">
        <v>22</v>
      </c>
      <c r="H229" s="1852" t="s">
        <v>22</v>
      </c>
      <c r="I229" s="1852" t="s">
        <v>808</v>
      </c>
    </row>
    <row customHeight="1" ht="11.25">
      <c r="A230" s="1852" t="s">
        <v>2246</v>
      </c>
      <c r="B230" s="1852" t="s">
        <v>16</v>
      </c>
      <c r="C230" s="1852" t="s">
        <v>3032</v>
      </c>
      <c r="D230" s="1852" t="s">
        <v>3033</v>
      </c>
      <c r="E230" s="1852" t="s">
        <v>3034</v>
      </c>
      <c r="F230" s="1852" t="s">
        <v>2351</v>
      </c>
      <c r="G230" s="1852" t="s">
        <v>22</v>
      </c>
      <c r="H230" s="1852" t="s">
        <v>22</v>
      </c>
      <c r="I230" s="1852" t="s">
        <v>808</v>
      </c>
    </row>
    <row customHeight="1" ht="11.25">
      <c r="A231" s="1852" t="s">
        <v>2246</v>
      </c>
      <c r="B231" s="1852" t="s">
        <v>16</v>
      </c>
      <c r="C231" s="1852" t="s">
        <v>3035</v>
      </c>
      <c r="D231" s="1852" t="s">
        <v>3036</v>
      </c>
      <c r="E231" s="1852" t="s">
        <v>3037</v>
      </c>
      <c r="F231" s="1852" t="s">
        <v>2326</v>
      </c>
      <c r="G231" s="1852" t="s">
        <v>22</v>
      </c>
      <c r="H231" s="1852" t="s">
        <v>22</v>
      </c>
      <c r="I231" s="1852" t="s">
        <v>808</v>
      </c>
    </row>
    <row customHeight="1" ht="11.25">
      <c r="A232" s="1852" t="s">
        <v>2246</v>
      </c>
      <c r="B232" s="1852" t="s">
        <v>16</v>
      </c>
      <c r="C232" s="1852" t="s">
        <v>3038</v>
      </c>
      <c r="D232" s="1852" t="s">
        <v>3039</v>
      </c>
      <c r="E232" s="1852" t="s">
        <v>3040</v>
      </c>
      <c r="F232" s="1852" t="s">
        <v>2534</v>
      </c>
      <c r="G232" s="1852" t="s">
        <v>3041</v>
      </c>
      <c r="H232" s="1852" t="s">
        <v>22</v>
      </c>
      <c r="I232" s="1852" t="s">
        <v>808</v>
      </c>
    </row>
    <row customHeight="1" ht="11.25">
      <c r="A233" s="1852" t="s">
        <v>2246</v>
      </c>
      <c r="B233" s="1852" t="s">
        <v>16</v>
      </c>
      <c r="C233" s="1852" t="s">
        <v>3042</v>
      </c>
      <c r="D233" s="1852" t="s">
        <v>3043</v>
      </c>
      <c r="E233" s="1852" t="s">
        <v>3044</v>
      </c>
      <c r="F233" s="1852" t="s">
        <v>2373</v>
      </c>
      <c r="G233" s="1852" t="s">
        <v>22</v>
      </c>
      <c r="H233" s="1852" t="s">
        <v>22</v>
      </c>
      <c r="I233" s="1852" t="s">
        <v>808</v>
      </c>
    </row>
    <row customHeight="1" ht="11.25">
      <c r="A234" s="1852" t="s">
        <v>2246</v>
      </c>
      <c r="B234" s="1852" t="s">
        <v>16</v>
      </c>
      <c r="C234" s="1852" t="s">
        <v>3045</v>
      </c>
      <c r="D234" s="1852" t="s">
        <v>3046</v>
      </c>
      <c r="E234" s="1852" t="s">
        <v>3047</v>
      </c>
      <c r="F234" s="1852" t="s">
        <v>2274</v>
      </c>
      <c r="G234" s="1852" t="s">
        <v>3048</v>
      </c>
      <c r="H234" s="1852" t="s">
        <v>22</v>
      </c>
      <c r="I234" s="1852" t="s">
        <v>808</v>
      </c>
    </row>
    <row customHeight="1" ht="11.25">
      <c r="A235" s="1852" t="s">
        <v>2246</v>
      </c>
      <c r="B235" s="1852" t="s">
        <v>16</v>
      </c>
      <c r="C235" s="1852" t="s">
        <v>3049</v>
      </c>
      <c r="D235" s="1852" t="s">
        <v>3050</v>
      </c>
      <c r="E235" s="1852" t="s">
        <v>3051</v>
      </c>
      <c r="F235" s="1852" t="s">
        <v>2365</v>
      </c>
      <c r="G235" s="1852" t="s">
        <v>22</v>
      </c>
      <c r="H235" s="1852" t="s">
        <v>22</v>
      </c>
      <c r="I235" s="1852" t="s">
        <v>808</v>
      </c>
    </row>
    <row customHeight="1" ht="11.25">
      <c r="A236" s="1852" t="s">
        <v>2246</v>
      </c>
      <c r="B236" s="1852" t="s">
        <v>16</v>
      </c>
      <c r="C236" s="1852" t="s">
        <v>3052</v>
      </c>
      <c r="D236" s="1852" t="s">
        <v>3053</v>
      </c>
      <c r="E236" s="1852" t="s">
        <v>3054</v>
      </c>
      <c r="F236" s="1852" t="s">
        <v>2365</v>
      </c>
      <c r="G236" s="1852" t="s">
        <v>22</v>
      </c>
      <c r="H236" s="1852" t="s">
        <v>22</v>
      </c>
      <c r="I236" s="1852" t="s">
        <v>808</v>
      </c>
    </row>
    <row customHeight="1" ht="11.25">
      <c r="A237" s="1852" t="s">
        <v>2246</v>
      </c>
      <c r="B237" s="1852" t="s">
        <v>16</v>
      </c>
      <c r="C237" s="1852" t="s">
        <v>3055</v>
      </c>
      <c r="D237" s="1852" t="s">
        <v>3056</v>
      </c>
      <c r="E237" s="1852" t="s">
        <v>3057</v>
      </c>
      <c r="F237" s="1852" t="s">
        <v>2318</v>
      </c>
      <c r="G237" s="1852" t="s">
        <v>22</v>
      </c>
      <c r="H237" s="1852" t="s">
        <v>22</v>
      </c>
      <c r="I237" s="1852" t="s">
        <v>808</v>
      </c>
    </row>
    <row customHeight="1" ht="11.25">
      <c r="A238" s="1852" t="s">
        <v>2246</v>
      </c>
      <c r="B238" s="1852" t="s">
        <v>16</v>
      </c>
      <c r="C238" s="1852" t="s">
        <v>3058</v>
      </c>
      <c r="D238" s="1852" t="s">
        <v>3059</v>
      </c>
      <c r="E238" s="1852" t="s">
        <v>3060</v>
      </c>
      <c r="F238" s="1852" t="s">
        <v>2274</v>
      </c>
      <c r="G238" s="1852" t="s">
        <v>22</v>
      </c>
      <c r="H238" s="1852" t="s">
        <v>22</v>
      </c>
      <c r="I238" s="1852" t="s">
        <v>808</v>
      </c>
    </row>
    <row customHeight="1" ht="11.25">
      <c r="A239" s="1852" t="s">
        <v>2246</v>
      </c>
      <c r="B239" s="1852" t="s">
        <v>16</v>
      </c>
      <c r="C239" s="1852" t="s">
        <v>3061</v>
      </c>
      <c r="D239" s="1852" t="s">
        <v>3062</v>
      </c>
      <c r="E239" s="1852" t="s">
        <v>3063</v>
      </c>
      <c r="F239" s="1852" t="s">
        <v>2326</v>
      </c>
      <c r="G239" s="1852" t="s">
        <v>22</v>
      </c>
      <c r="H239" s="1852" t="s">
        <v>22</v>
      </c>
      <c r="I239" s="1852" t="s">
        <v>808</v>
      </c>
    </row>
    <row customHeight="1" ht="11.25">
      <c r="A240" s="1852" t="s">
        <v>2246</v>
      </c>
      <c r="B240" s="1852" t="s">
        <v>16</v>
      </c>
      <c r="C240" s="1852" t="s">
        <v>3064</v>
      </c>
      <c r="D240" s="1852" t="s">
        <v>3065</v>
      </c>
      <c r="E240" s="1852" t="s">
        <v>3066</v>
      </c>
      <c r="F240" s="1852" t="s">
        <v>2274</v>
      </c>
      <c r="G240" s="1852" t="s">
        <v>22</v>
      </c>
      <c r="H240" s="1852" t="s">
        <v>22</v>
      </c>
      <c r="I240" s="1852" t="s">
        <v>808</v>
      </c>
    </row>
    <row customHeight="1" ht="11.25">
      <c r="A241" s="1852" t="s">
        <v>2246</v>
      </c>
      <c r="B241" s="1852" t="s">
        <v>16</v>
      </c>
      <c r="C241" s="1852" t="s">
        <v>3067</v>
      </c>
      <c r="D241" s="1852" t="s">
        <v>3068</v>
      </c>
      <c r="E241" s="1852" t="s">
        <v>3069</v>
      </c>
      <c r="F241" s="1852" t="s">
        <v>2274</v>
      </c>
      <c r="G241" s="1852" t="s">
        <v>22</v>
      </c>
      <c r="H241" s="1852" t="s">
        <v>22</v>
      </c>
      <c r="I241" s="1852" t="s">
        <v>808</v>
      </c>
    </row>
    <row customHeight="1" ht="11.25">
      <c r="A242" s="1852" t="s">
        <v>2246</v>
      </c>
      <c r="B242" s="1852" t="s">
        <v>16</v>
      </c>
      <c r="C242" s="1852" t="s">
        <v>3070</v>
      </c>
      <c r="D242" s="1852" t="s">
        <v>3071</v>
      </c>
      <c r="E242" s="1852" t="s">
        <v>3072</v>
      </c>
      <c r="F242" s="1852" t="s">
        <v>2274</v>
      </c>
      <c r="G242" s="1852" t="s">
        <v>22</v>
      </c>
      <c r="H242" s="1852" t="s">
        <v>22</v>
      </c>
      <c r="I242" s="1852" t="s">
        <v>808</v>
      </c>
    </row>
    <row customHeight="1" ht="11.25">
      <c r="A243" s="1852" t="s">
        <v>2246</v>
      </c>
      <c r="B243" s="1852" t="s">
        <v>16</v>
      </c>
      <c r="C243" s="1852" t="s">
        <v>3073</v>
      </c>
      <c r="D243" s="1852" t="s">
        <v>3074</v>
      </c>
      <c r="E243" s="1852" t="s">
        <v>3075</v>
      </c>
      <c r="F243" s="1852" t="s">
        <v>2588</v>
      </c>
      <c r="G243" s="1852" t="s">
        <v>3076</v>
      </c>
      <c r="H243" s="1852" t="s">
        <v>22</v>
      </c>
      <c r="I243" s="1852" t="s">
        <v>808</v>
      </c>
    </row>
    <row customHeight="1" ht="11.25">
      <c r="A244" s="1852" t="s">
        <v>2246</v>
      </c>
      <c r="B244" s="1852" t="s">
        <v>16</v>
      </c>
      <c r="C244" s="1852" t="s">
        <v>3077</v>
      </c>
      <c r="D244" s="1852" t="s">
        <v>3078</v>
      </c>
      <c r="E244" s="1852" t="s">
        <v>3079</v>
      </c>
      <c r="F244" s="1852" t="s">
        <v>2274</v>
      </c>
      <c r="G244" s="1852" t="s">
        <v>22</v>
      </c>
      <c r="H244" s="1852" t="s">
        <v>22</v>
      </c>
      <c r="I244" s="1852" t="s">
        <v>808</v>
      </c>
    </row>
    <row customHeight="1" ht="11.25">
      <c r="A245" s="1852" t="s">
        <v>2246</v>
      </c>
      <c r="B245" s="1852" t="s">
        <v>16</v>
      </c>
      <c r="C245" s="1852" t="s">
        <v>3080</v>
      </c>
      <c r="D245" s="1852" t="s">
        <v>3081</v>
      </c>
      <c r="E245" s="1852" t="s">
        <v>3082</v>
      </c>
      <c r="F245" s="1852" t="s">
        <v>2333</v>
      </c>
      <c r="G245" s="1852" t="s">
        <v>3083</v>
      </c>
      <c r="H245" s="1852" t="s">
        <v>22</v>
      </c>
      <c r="I245" s="1852" t="s">
        <v>808</v>
      </c>
    </row>
    <row customHeight="1" ht="11.25">
      <c r="A246" s="1852" t="s">
        <v>2246</v>
      </c>
      <c r="B246" s="1852" t="s">
        <v>16</v>
      </c>
      <c r="C246" s="1852" t="s">
        <v>3084</v>
      </c>
      <c r="D246" s="1852" t="s">
        <v>3085</v>
      </c>
      <c r="E246" s="1852" t="s">
        <v>3086</v>
      </c>
      <c r="F246" s="1852" t="s">
        <v>2274</v>
      </c>
      <c r="G246" s="1852" t="s">
        <v>22</v>
      </c>
      <c r="H246" s="1852" t="s">
        <v>22</v>
      </c>
      <c r="I246" s="1852" t="s">
        <v>808</v>
      </c>
    </row>
    <row customHeight="1" ht="11.25">
      <c r="A247" s="1852" t="s">
        <v>2246</v>
      </c>
      <c r="B247" s="1852" t="s">
        <v>16</v>
      </c>
      <c r="C247" s="1852" t="s">
        <v>3087</v>
      </c>
      <c r="D247" s="1852" t="s">
        <v>3088</v>
      </c>
      <c r="E247" s="1852" t="s">
        <v>3089</v>
      </c>
      <c r="F247" s="1852" t="s">
        <v>2618</v>
      </c>
      <c r="G247" s="1852" t="s">
        <v>2651</v>
      </c>
      <c r="H247" s="1852" t="s">
        <v>22</v>
      </c>
      <c r="I247" s="1852" t="s">
        <v>808</v>
      </c>
    </row>
    <row customHeight="1" ht="11.25">
      <c r="A248" s="1852" t="s">
        <v>2246</v>
      </c>
      <c r="B248" s="1852" t="s">
        <v>16</v>
      </c>
      <c r="C248" s="1852" t="s">
        <v>3090</v>
      </c>
      <c r="D248" s="1852" t="s">
        <v>3091</v>
      </c>
      <c r="E248" s="1852" t="s">
        <v>3092</v>
      </c>
      <c r="F248" s="1852" t="s">
        <v>2618</v>
      </c>
      <c r="G248" s="1852" t="s">
        <v>2651</v>
      </c>
      <c r="H248" s="1852" t="s">
        <v>22</v>
      </c>
      <c r="I248" s="1852" t="s">
        <v>808</v>
      </c>
    </row>
    <row customHeight="1" ht="11.25">
      <c r="A249" s="1852" t="s">
        <v>2246</v>
      </c>
      <c r="B249" s="1852" t="s">
        <v>16</v>
      </c>
      <c r="C249" s="1852" t="s">
        <v>3093</v>
      </c>
      <c r="D249" s="1852" t="s">
        <v>3094</v>
      </c>
      <c r="E249" s="1852" t="s">
        <v>3095</v>
      </c>
      <c r="F249" s="1852" t="s">
        <v>2274</v>
      </c>
      <c r="G249" s="1852" t="s">
        <v>22</v>
      </c>
      <c r="H249" s="1852" t="s">
        <v>22</v>
      </c>
      <c r="I249" s="1852" t="s">
        <v>808</v>
      </c>
    </row>
    <row customHeight="1" ht="11.25">
      <c r="A250" s="1852" t="s">
        <v>2246</v>
      </c>
      <c r="B250" s="1852" t="s">
        <v>16</v>
      </c>
      <c r="C250" s="1852" t="s">
        <v>3096</v>
      </c>
      <c r="D250" s="1852" t="s">
        <v>3097</v>
      </c>
      <c r="E250" s="1852" t="s">
        <v>3098</v>
      </c>
      <c r="F250" s="1852" t="s">
        <v>2534</v>
      </c>
      <c r="G250" s="1852" t="s">
        <v>22</v>
      </c>
      <c r="H250" s="1852" t="s">
        <v>22</v>
      </c>
      <c r="I250" s="1852" t="s">
        <v>808</v>
      </c>
    </row>
    <row customHeight="1" ht="11.25">
      <c r="A251" s="1852" t="s">
        <v>2246</v>
      </c>
      <c r="B251" s="1852" t="s">
        <v>16</v>
      </c>
      <c r="C251" s="1852" t="s">
        <v>3099</v>
      </c>
      <c r="D251" s="1852" t="s">
        <v>3100</v>
      </c>
      <c r="E251" s="1852" t="s">
        <v>3101</v>
      </c>
      <c r="F251" s="1852" t="s">
        <v>2274</v>
      </c>
      <c r="G251" s="1852" t="s">
        <v>22</v>
      </c>
      <c r="H251" s="1852" t="s">
        <v>22</v>
      </c>
      <c r="I251" s="1852" t="s">
        <v>808</v>
      </c>
    </row>
    <row customHeight="1" ht="11.25">
      <c r="A252" s="1852" t="s">
        <v>2246</v>
      </c>
      <c r="B252" s="1852" t="s">
        <v>16</v>
      </c>
      <c r="C252" s="1852" t="s">
        <v>3102</v>
      </c>
      <c r="D252" s="1852" t="s">
        <v>3103</v>
      </c>
      <c r="E252" s="1852" t="s">
        <v>3104</v>
      </c>
      <c r="F252" s="1852" t="s">
        <v>3105</v>
      </c>
      <c r="G252" s="1852" t="s">
        <v>22</v>
      </c>
      <c r="H252" s="1852" t="s">
        <v>22</v>
      </c>
      <c r="I252" s="1852" t="s">
        <v>808</v>
      </c>
    </row>
    <row customHeight="1" ht="11.25">
      <c r="A253" s="1852" t="s">
        <v>2246</v>
      </c>
      <c r="B253" s="1852" t="s">
        <v>16</v>
      </c>
      <c r="C253" s="1852" t="s">
        <v>3106</v>
      </c>
      <c r="D253" s="1852" t="s">
        <v>3107</v>
      </c>
      <c r="E253" s="1852" t="s">
        <v>3108</v>
      </c>
      <c r="F253" s="1852" t="s">
        <v>2326</v>
      </c>
      <c r="G253" s="1852" t="s">
        <v>22</v>
      </c>
      <c r="H253" s="1852" t="s">
        <v>22</v>
      </c>
      <c r="I253" s="1852" t="s">
        <v>808</v>
      </c>
    </row>
    <row customHeight="1" ht="11.25">
      <c r="A254" s="1852" t="s">
        <v>2246</v>
      </c>
      <c r="B254" s="1852" t="s">
        <v>16</v>
      </c>
      <c r="C254" s="1852" t="s">
        <v>13</v>
      </c>
      <c r="D254" s="1852" t="s">
        <v>46</v>
      </c>
      <c r="E254" s="1852" t="s">
        <v>49</v>
      </c>
      <c r="F254" s="1852" t="s">
        <v>51</v>
      </c>
      <c r="G254" s="1852" t="s">
        <v>22</v>
      </c>
      <c r="H254" s="1852" t="s">
        <v>22</v>
      </c>
      <c r="I254" s="1852" t="s">
        <v>808</v>
      </c>
    </row>
    <row customHeight="1" ht="11.25">
      <c r="A255" s="1852" t="s">
        <v>2246</v>
      </c>
      <c r="B255" s="1852" t="s">
        <v>16</v>
      </c>
      <c r="C255" s="1852" t="s">
        <v>3109</v>
      </c>
      <c r="D255" s="1852" t="s">
        <v>46</v>
      </c>
      <c r="E255" s="1852" t="s">
        <v>49</v>
      </c>
      <c r="F255" s="1852" t="s">
        <v>3110</v>
      </c>
      <c r="G255" s="1852" t="s">
        <v>22</v>
      </c>
      <c r="H255" s="1852" t="s">
        <v>22</v>
      </c>
      <c r="I255" s="1852" t="s">
        <v>808</v>
      </c>
    </row>
    <row customHeight="1" ht="11.25">
      <c r="A256" s="1852" t="s">
        <v>2246</v>
      </c>
      <c r="B256" s="1852" t="s">
        <v>16</v>
      </c>
      <c r="C256" s="1852" t="s">
        <v>3111</v>
      </c>
      <c r="D256" s="1852" t="s">
        <v>3112</v>
      </c>
      <c r="E256" s="1852" t="s">
        <v>3113</v>
      </c>
      <c r="F256" s="1852" t="s">
        <v>2274</v>
      </c>
      <c r="G256" s="1852" t="s">
        <v>22</v>
      </c>
      <c r="H256" s="1852" t="s">
        <v>22</v>
      </c>
      <c r="I256" s="1852" t="s">
        <v>808</v>
      </c>
    </row>
    <row customHeight="1" ht="11.25">
      <c r="A257" s="1852" t="s">
        <v>2246</v>
      </c>
      <c r="B257" s="1852" t="s">
        <v>16</v>
      </c>
      <c r="C257" s="1852" t="s">
        <v>3114</v>
      </c>
      <c r="D257" s="1852" t="s">
        <v>3115</v>
      </c>
      <c r="E257" s="1852" t="s">
        <v>3116</v>
      </c>
      <c r="F257" s="1852" t="s">
        <v>2318</v>
      </c>
      <c r="G257" s="1852" t="s">
        <v>22</v>
      </c>
      <c r="H257" s="1852" t="s">
        <v>22</v>
      </c>
      <c r="I257" s="1852" t="s">
        <v>808</v>
      </c>
    </row>
    <row customHeight="1" ht="11.25">
      <c r="A258" s="1852" t="s">
        <v>2246</v>
      </c>
      <c r="B258" s="1852" t="s">
        <v>16</v>
      </c>
      <c r="C258" s="1852" t="s">
        <v>3117</v>
      </c>
      <c r="D258" s="1852" t="s">
        <v>3118</v>
      </c>
      <c r="E258" s="1852" t="s">
        <v>3119</v>
      </c>
      <c r="F258" s="1852" t="s">
        <v>2541</v>
      </c>
      <c r="G258" s="1852" t="s">
        <v>22</v>
      </c>
      <c r="H258" s="1852" t="s">
        <v>22</v>
      </c>
      <c r="I258" s="1852" t="s">
        <v>808</v>
      </c>
    </row>
    <row customHeight="1" ht="11.25">
      <c r="A259" s="1852" t="s">
        <v>2246</v>
      </c>
      <c r="B259" s="1852" t="s">
        <v>16</v>
      </c>
      <c r="C259" s="1852" t="s">
        <v>3120</v>
      </c>
      <c r="D259" s="1852" t="s">
        <v>3121</v>
      </c>
      <c r="E259" s="1852" t="s">
        <v>2417</v>
      </c>
      <c r="F259" s="1852" t="s">
        <v>3122</v>
      </c>
      <c r="G259" s="1852" t="s">
        <v>22</v>
      </c>
      <c r="H259" s="1852" t="s">
        <v>22</v>
      </c>
      <c r="I259" s="1852" t="s">
        <v>808</v>
      </c>
    </row>
    <row customHeight="1" ht="11.25">
      <c r="A260" s="1852" t="s">
        <v>2246</v>
      </c>
      <c r="B260" s="1852" t="s">
        <v>16</v>
      </c>
      <c r="C260" s="1852" t="s">
        <v>3123</v>
      </c>
      <c r="D260" s="1852" t="s">
        <v>3124</v>
      </c>
      <c r="E260" s="1852" t="s">
        <v>3125</v>
      </c>
      <c r="F260" s="1852" t="s">
        <v>3126</v>
      </c>
      <c r="G260" s="1852" t="s">
        <v>3127</v>
      </c>
      <c r="H260" s="1852" t="s">
        <v>22</v>
      </c>
      <c r="I260" s="1852" t="s">
        <v>808</v>
      </c>
    </row>
    <row customHeight="1" ht="11.25">
      <c r="A261" s="1852" t="s">
        <v>2246</v>
      </c>
      <c r="B261" s="1852" t="s">
        <v>16</v>
      </c>
      <c r="C261" s="1852" t="s">
        <v>3128</v>
      </c>
      <c r="D261" s="1852" t="s">
        <v>3129</v>
      </c>
      <c r="E261" s="1852" t="s">
        <v>3130</v>
      </c>
      <c r="F261" s="1852" t="s">
        <v>2274</v>
      </c>
      <c r="G261" s="1852" t="s">
        <v>22</v>
      </c>
      <c r="H261" s="1852" t="s">
        <v>22</v>
      </c>
      <c r="I261" s="1852" t="s">
        <v>808</v>
      </c>
    </row>
    <row customHeight="1" ht="11.25">
      <c r="A262" s="1852" t="s">
        <v>2246</v>
      </c>
      <c r="B262" s="1852" t="s">
        <v>16</v>
      </c>
      <c r="C262" s="1852" t="s">
        <v>3131</v>
      </c>
      <c r="D262" s="1852" t="s">
        <v>3132</v>
      </c>
      <c r="E262" s="1852" t="s">
        <v>2413</v>
      </c>
      <c r="F262" s="1852" t="s">
        <v>2274</v>
      </c>
      <c r="G262" s="1852" t="s">
        <v>22</v>
      </c>
      <c r="H262" s="1852" t="s">
        <v>22</v>
      </c>
      <c r="I262" s="1852" t="s">
        <v>808</v>
      </c>
    </row>
    <row customHeight="1" ht="11.25">
      <c r="A263" s="1852" t="s">
        <v>2246</v>
      </c>
      <c r="B263" s="1852" t="s">
        <v>16</v>
      </c>
      <c r="C263" s="1852" t="s">
        <v>3133</v>
      </c>
      <c r="D263" s="1852" t="s">
        <v>3134</v>
      </c>
      <c r="E263" s="1852" t="s">
        <v>3135</v>
      </c>
      <c r="F263" s="1852" t="s">
        <v>3136</v>
      </c>
      <c r="G263" s="1852" t="s">
        <v>22</v>
      </c>
      <c r="H263" s="1852" t="s">
        <v>22</v>
      </c>
      <c r="I263" s="1852" t="s">
        <v>808</v>
      </c>
    </row>
    <row customHeight="1" ht="11.25">
      <c r="A264" s="1852" t="s">
        <v>2246</v>
      </c>
      <c r="B264" s="1852" t="s">
        <v>16</v>
      </c>
      <c r="C264" s="1852" t="s">
        <v>3137</v>
      </c>
      <c r="D264" s="1852" t="s">
        <v>3138</v>
      </c>
      <c r="E264" s="1852" t="s">
        <v>3135</v>
      </c>
      <c r="F264" s="1852" t="s">
        <v>3139</v>
      </c>
      <c r="G264" s="1852" t="s">
        <v>22</v>
      </c>
      <c r="H264" s="1852" t="s">
        <v>22</v>
      </c>
      <c r="I264" s="1852" t="s">
        <v>808</v>
      </c>
    </row>
    <row customHeight="1" ht="11.25">
      <c r="A265" s="1852" t="s">
        <v>2246</v>
      </c>
      <c r="B265" s="1852" t="s">
        <v>16</v>
      </c>
      <c r="C265" s="1852" t="s">
        <v>3140</v>
      </c>
      <c r="D265" s="1852" t="s">
        <v>3141</v>
      </c>
      <c r="E265" s="1852" t="s">
        <v>3142</v>
      </c>
      <c r="F265" s="1852" t="s">
        <v>2333</v>
      </c>
      <c r="G265" s="1852" t="s">
        <v>22</v>
      </c>
      <c r="H265" s="1852" t="s">
        <v>22</v>
      </c>
      <c r="I265" s="1852" t="s">
        <v>808</v>
      </c>
    </row>
    <row customHeight="1" ht="11.25">
      <c r="A266" s="1852" t="s">
        <v>2246</v>
      </c>
      <c r="B266" s="1852" t="s">
        <v>16</v>
      </c>
      <c r="C266" s="1852" t="s">
        <v>3143</v>
      </c>
      <c r="D266" s="1852" t="s">
        <v>3144</v>
      </c>
      <c r="E266" s="1852" t="s">
        <v>2530</v>
      </c>
      <c r="F266" s="1852" t="s">
        <v>2392</v>
      </c>
      <c r="G266" s="1852" t="s">
        <v>22</v>
      </c>
      <c r="H266" s="1852" t="s">
        <v>22</v>
      </c>
      <c r="I266" s="1852" t="s">
        <v>808</v>
      </c>
    </row>
    <row customHeight="1" ht="11.25">
      <c r="A267" s="1852" t="s">
        <v>2246</v>
      </c>
      <c r="B267" s="1852" t="s">
        <v>16</v>
      </c>
      <c r="C267" s="1852" t="s">
        <v>3145</v>
      </c>
      <c r="D267" s="1852" t="s">
        <v>3146</v>
      </c>
      <c r="E267" s="1852" t="s">
        <v>3147</v>
      </c>
      <c r="F267" s="1852" t="s">
        <v>2274</v>
      </c>
      <c r="G267" s="1852" t="s">
        <v>22</v>
      </c>
      <c r="H267" s="1852" t="s">
        <v>22</v>
      </c>
      <c r="I267" s="1852" t="s">
        <v>808</v>
      </c>
    </row>
    <row customHeight="1" ht="11.25">
      <c r="A268" s="1852" t="s">
        <v>2246</v>
      </c>
      <c r="B268" s="1852" t="s">
        <v>16</v>
      </c>
      <c r="C268" s="1852" t="s">
        <v>3148</v>
      </c>
      <c r="D268" s="1852" t="s">
        <v>3149</v>
      </c>
      <c r="E268" s="1852" t="s">
        <v>3150</v>
      </c>
      <c r="F268" s="1852" t="s">
        <v>2432</v>
      </c>
      <c r="G268" s="1852" t="s">
        <v>22</v>
      </c>
      <c r="H268" s="1852" t="s">
        <v>22</v>
      </c>
      <c r="I268" s="1852" t="s">
        <v>808</v>
      </c>
    </row>
    <row customHeight="1" ht="11.25">
      <c r="A269" s="1852" t="s">
        <v>2246</v>
      </c>
      <c r="B269" s="1852" t="s">
        <v>16</v>
      </c>
      <c r="C269" s="1852" t="s">
        <v>3151</v>
      </c>
      <c r="D269" s="1852" t="s">
        <v>3152</v>
      </c>
      <c r="E269" s="1852" t="s">
        <v>3153</v>
      </c>
      <c r="F269" s="1852" t="s">
        <v>3154</v>
      </c>
      <c r="G269" s="1852" t="s">
        <v>22</v>
      </c>
      <c r="H269" s="1852" t="s">
        <v>22</v>
      </c>
      <c r="I269" s="1852" t="s">
        <v>808</v>
      </c>
    </row>
    <row customHeight="1" ht="11.25">
      <c r="A270" s="1852" t="s">
        <v>2246</v>
      </c>
      <c r="B270" s="1852" t="s">
        <v>16</v>
      </c>
      <c r="C270" s="1852" t="s">
        <v>2283</v>
      </c>
      <c r="D270" s="1852" t="s">
        <v>2284</v>
      </c>
      <c r="E270" s="1852" t="s">
        <v>2285</v>
      </c>
      <c r="F270" s="1852" t="s">
        <v>2274</v>
      </c>
      <c r="G270" s="1852" t="s">
        <v>2286</v>
      </c>
      <c r="H270" s="1852" t="s">
        <v>22</v>
      </c>
      <c r="I270" s="1852" t="s">
        <v>894</v>
      </c>
    </row>
    <row customHeight="1" ht="11.25">
      <c r="A271" s="1852" t="s">
        <v>2246</v>
      </c>
      <c r="B271" s="1852" t="s">
        <v>16</v>
      </c>
      <c r="C271" s="1852" t="s">
        <v>2291</v>
      </c>
      <c r="D271" s="1852" t="s">
        <v>2292</v>
      </c>
      <c r="E271" s="1852" t="s">
        <v>2293</v>
      </c>
      <c r="F271" s="1852" t="s">
        <v>2274</v>
      </c>
      <c r="G271" s="1852" t="s">
        <v>2294</v>
      </c>
      <c r="H271" s="1852" t="s">
        <v>22</v>
      </c>
      <c r="I271" s="1852" t="s">
        <v>894</v>
      </c>
    </row>
    <row customHeight="1" ht="11.25">
      <c r="A272" s="1852" t="s">
        <v>2246</v>
      </c>
      <c r="B272" s="1852" t="s">
        <v>16</v>
      </c>
      <c r="C272" s="1852" t="s">
        <v>2308</v>
      </c>
      <c r="D272" s="1852" t="s">
        <v>2309</v>
      </c>
      <c r="E272" s="1852" t="s">
        <v>2310</v>
      </c>
      <c r="F272" s="1852" t="s">
        <v>2311</v>
      </c>
      <c r="G272" s="1852" t="s">
        <v>22</v>
      </c>
      <c r="H272" s="1852" t="s">
        <v>22</v>
      </c>
      <c r="I272" s="1852" t="s">
        <v>894</v>
      </c>
    </row>
    <row customHeight="1" ht="11.25">
      <c r="A273" s="1852" t="s">
        <v>2246</v>
      </c>
      <c r="B273" s="1852" t="s">
        <v>16</v>
      </c>
      <c r="C273" s="1852" t="s">
        <v>2315</v>
      </c>
      <c r="D273" s="1852" t="s">
        <v>2316</v>
      </c>
      <c r="E273" s="1852" t="s">
        <v>2317</v>
      </c>
      <c r="F273" s="1852" t="s">
        <v>2318</v>
      </c>
      <c r="G273" s="1852" t="s">
        <v>2319</v>
      </c>
      <c r="H273" s="1852" t="s">
        <v>22</v>
      </c>
      <c r="I273" s="1852" t="s">
        <v>894</v>
      </c>
    </row>
    <row customHeight="1" ht="11.25">
      <c r="A274" s="1852" t="s">
        <v>2246</v>
      </c>
      <c r="B274" s="1852" t="s">
        <v>16</v>
      </c>
      <c r="C274" s="1852" t="s">
        <v>2348</v>
      </c>
      <c r="D274" s="1852" t="s">
        <v>2349</v>
      </c>
      <c r="E274" s="1852" t="s">
        <v>2350</v>
      </c>
      <c r="F274" s="1852" t="s">
        <v>2351</v>
      </c>
      <c r="G274" s="1852" t="s">
        <v>22</v>
      </c>
      <c r="H274" s="1852" t="s">
        <v>22</v>
      </c>
      <c r="I274" s="1852" t="s">
        <v>894</v>
      </c>
    </row>
    <row customHeight="1" ht="11.25">
      <c r="A275" s="1852" t="s">
        <v>2246</v>
      </c>
      <c r="B275" s="1852" t="s">
        <v>16</v>
      </c>
      <c r="C275" s="1852" t="s">
        <v>2352</v>
      </c>
      <c r="D275" s="1852" t="s">
        <v>2353</v>
      </c>
      <c r="E275" s="1852" t="s">
        <v>2354</v>
      </c>
      <c r="F275" s="1852" t="s">
        <v>2355</v>
      </c>
      <c r="G275" s="1852" t="s">
        <v>22</v>
      </c>
      <c r="H275" s="1852" t="s">
        <v>22</v>
      </c>
      <c r="I275" s="1852" t="s">
        <v>894</v>
      </c>
    </row>
    <row customHeight="1" ht="11.25">
      <c r="A276" s="1852" t="s">
        <v>2246</v>
      </c>
      <c r="B276" s="1852" t="s">
        <v>16</v>
      </c>
      <c r="C276" s="1852" t="s">
        <v>2359</v>
      </c>
      <c r="D276" s="1852" t="s">
        <v>2360</v>
      </c>
      <c r="E276" s="1852" t="s">
        <v>2361</v>
      </c>
      <c r="F276" s="1852" t="s">
        <v>2333</v>
      </c>
      <c r="G276" s="1852" t="s">
        <v>22</v>
      </c>
      <c r="H276" s="1852" t="s">
        <v>22</v>
      </c>
      <c r="I276" s="1852" t="s">
        <v>894</v>
      </c>
    </row>
    <row customHeight="1" ht="11.25">
      <c r="A277" s="1852" t="s">
        <v>2246</v>
      </c>
      <c r="B277" s="1852" t="s">
        <v>16</v>
      </c>
      <c r="C277" s="1852" t="s">
        <v>2415</v>
      </c>
      <c r="D277" s="1852" t="s">
        <v>2416</v>
      </c>
      <c r="E277" s="1852" t="s">
        <v>2417</v>
      </c>
      <c r="F277" s="1852" t="s">
        <v>2418</v>
      </c>
      <c r="G277" s="1852" t="s">
        <v>22</v>
      </c>
      <c r="H277" s="1852" t="s">
        <v>22</v>
      </c>
      <c r="I277" s="1852" t="s">
        <v>894</v>
      </c>
    </row>
    <row customHeight="1" ht="11.25">
      <c r="A278" s="1852" t="s">
        <v>2246</v>
      </c>
      <c r="B278" s="1852" t="s">
        <v>16</v>
      </c>
      <c r="C278" s="1852" t="s">
        <v>2426</v>
      </c>
      <c r="D278" s="1852" t="s">
        <v>2427</v>
      </c>
      <c r="E278" s="1852" t="s">
        <v>2417</v>
      </c>
      <c r="F278" s="1852" t="s">
        <v>2428</v>
      </c>
      <c r="G278" s="1852" t="s">
        <v>22</v>
      </c>
      <c r="H278" s="1852" t="s">
        <v>22</v>
      </c>
      <c r="I278" s="1852" t="s">
        <v>894</v>
      </c>
    </row>
    <row customHeight="1" ht="11.25">
      <c r="A279" s="1852" t="s">
        <v>2246</v>
      </c>
      <c r="B279" s="1852" t="s">
        <v>16</v>
      </c>
      <c r="C279" s="1852" t="s">
        <v>2438</v>
      </c>
      <c r="D279" s="1852" t="s">
        <v>2439</v>
      </c>
      <c r="E279" s="1852" t="s">
        <v>2436</v>
      </c>
      <c r="F279" s="1852" t="s">
        <v>2274</v>
      </c>
      <c r="G279" s="1852" t="s">
        <v>22</v>
      </c>
      <c r="H279" s="1852" t="s">
        <v>22</v>
      </c>
      <c r="I279" s="1852" t="s">
        <v>894</v>
      </c>
    </row>
    <row customHeight="1" ht="11.25">
      <c r="A280" s="1852" t="s">
        <v>2246</v>
      </c>
      <c r="B280" s="1852" t="s">
        <v>16</v>
      </c>
      <c r="C280" s="1852" t="s">
        <v>22</v>
      </c>
      <c r="D280" s="1852" t="s">
        <v>2440</v>
      </c>
      <c r="E280" s="1852" t="s">
        <v>2441</v>
      </c>
      <c r="F280" s="1852" t="s">
        <v>2274</v>
      </c>
      <c r="G280" s="1852" t="s">
        <v>22</v>
      </c>
      <c r="H280" s="1852" t="s">
        <v>22</v>
      </c>
      <c r="I280" s="1852" t="s">
        <v>894</v>
      </c>
    </row>
    <row customHeight="1" ht="11.25">
      <c r="A281" s="1852" t="s">
        <v>2246</v>
      </c>
      <c r="B281" s="1852" t="s">
        <v>16</v>
      </c>
      <c r="C281" s="1852" t="s">
        <v>2448</v>
      </c>
      <c r="D281" s="1852" t="s">
        <v>2449</v>
      </c>
      <c r="E281" s="1852" t="s">
        <v>2450</v>
      </c>
      <c r="F281" s="1852" t="s">
        <v>575</v>
      </c>
      <c r="G281" s="1852" t="s">
        <v>2451</v>
      </c>
      <c r="H281" s="1852" t="s">
        <v>22</v>
      </c>
      <c r="I281" s="1852" t="s">
        <v>894</v>
      </c>
    </row>
    <row customHeight="1" ht="11.25">
      <c r="A282" s="1852" t="s">
        <v>2246</v>
      </c>
      <c r="B282" s="1852" t="s">
        <v>16</v>
      </c>
      <c r="C282" s="1852" t="s">
        <v>2474</v>
      </c>
      <c r="D282" s="1852" t="s">
        <v>2475</v>
      </c>
      <c r="E282" s="1852" t="s">
        <v>2476</v>
      </c>
      <c r="F282" s="1852" t="s">
        <v>2477</v>
      </c>
      <c r="G282" s="1852" t="s">
        <v>2478</v>
      </c>
      <c r="H282" s="1852" t="s">
        <v>22</v>
      </c>
      <c r="I282" s="1852" t="s">
        <v>894</v>
      </c>
    </row>
    <row customHeight="1" ht="11.25">
      <c r="A283" s="1852" t="s">
        <v>2246</v>
      </c>
      <c r="B283" s="1852" t="s">
        <v>16</v>
      </c>
      <c r="C283" s="1852" t="s">
        <v>2499</v>
      </c>
      <c r="D283" s="1852" t="s">
        <v>2500</v>
      </c>
      <c r="E283" s="1852" t="s">
        <v>2501</v>
      </c>
      <c r="F283" s="1852" t="s">
        <v>2326</v>
      </c>
      <c r="G283" s="1852" t="s">
        <v>2478</v>
      </c>
      <c r="H283" s="1852" t="s">
        <v>22</v>
      </c>
      <c r="I283" s="1852" t="s">
        <v>894</v>
      </c>
    </row>
    <row customHeight="1" ht="11.25">
      <c r="A284" s="1852" t="s">
        <v>2246</v>
      </c>
      <c r="B284" s="1852" t="s">
        <v>16</v>
      </c>
      <c r="C284" s="1852" t="s">
        <v>2508</v>
      </c>
      <c r="D284" s="1852" t="s">
        <v>2509</v>
      </c>
      <c r="E284" s="1852" t="s">
        <v>2510</v>
      </c>
      <c r="F284" s="1852" t="s">
        <v>2250</v>
      </c>
      <c r="G284" s="1852" t="s">
        <v>2511</v>
      </c>
      <c r="H284" s="1852" t="s">
        <v>22</v>
      </c>
      <c r="I284" s="1852" t="s">
        <v>894</v>
      </c>
    </row>
    <row customHeight="1" ht="11.25">
      <c r="A285" s="1852" t="s">
        <v>2246</v>
      </c>
      <c r="B285" s="1852" t="s">
        <v>16</v>
      </c>
      <c r="C285" s="1852" t="s">
        <v>2531</v>
      </c>
      <c r="D285" s="1852" t="s">
        <v>2532</v>
      </c>
      <c r="E285" s="1852" t="s">
        <v>2533</v>
      </c>
      <c r="F285" s="1852" t="s">
        <v>2534</v>
      </c>
      <c r="G285" s="1852" t="s">
        <v>22</v>
      </c>
      <c r="H285" s="1852" t="s">
        <v>22</v>
      </c>
      <c r="I285" s="1852" t="s">
        <v>894</v>
      </c>
    </row>
    <row customHeight="1" ht="11.25">
      <c r="A286" s="1852" t="s">
        <v>2246</v>
      </c>
      <c r="B286" s="1852" t="s">
        <v>16</v>
      </c>
      <c r="C286" s="1852" t="s">
        <v>2535</v>
      </c>
      <c r="D286" s="1852" t="s">
        <v>2536</v>
      </c>
      <c r="E286" s="1852" t="s">
        <v>2537</v>
      </c>
      <c r="F286" s="1852" t="s">
        <v>2250</v>
      </c>
      <c r="G286" s="1852" t="s">
        <v>22</v>
      </c>
      <c r="H286" s="1852" t="s">
        <v>22</v>
      </c>
      <c r="I286" s="1852" t="s">
        <v>894</v>
      </c>
    </row>
    <row customHeight="1" ht="11.25">
      <c r="A287" s="1852" t="s">
        <v>2246</v>
      </c>
      <c r="B287" s="1852" t="s">
        <v>16</v>
      </c>
      <c r="C287" s="1852" t="s">
        <v>2555</v>
      </c>
      <c r="D287" s="1852" t="s">
        <v>2556</v>
      </c>
      <c r="E287" s="1852" t="s">
        <v>2557</v>
      </c>
      <c r="F287" s="1852" t="s">
        <v>2554</v>
      </c>
      <c r="G287" s="1852" t="s">
        <v>22</v>
      </c>
      <c r="H287" s="1852" t="s">
        <v>22</v>
      </c>
      <c r="I287" s="1852" t="s">
        <v>894</v>
      </c>
    </row>
    <row customHeight="1" ht="11.25">
      <c r="A288" s="1852" t="s">
        <v>2246</v>
      </c>
      <c r="B288" s="1852" t="s">
        <v>16</v>
      </c>
      <c r="C288" s="1852" t="s">
        <v>2558</v>
      </c>
      <c r="D288" s="1852" t="s">
        <v>2559</v>
      </c>
      <c r="E288" s="1852" t="s">
        <v>2560</v>
      </c>
      <c r="F288" s="1852" t="s">
        <v>2351</v>
      </c>
      <c r="G288" s="1852" t="s">
        <v>22</v>
      </c>
      <c r="H288" s="1852" t="s">
        <v>2561</v>
      </c>
      <c r="I288" s="1852" t="s">
        <v>894</v>
      </c>
    </row>
    <row customHeight="1" ht="11.25">
      <c r="A289" s="1852" t="s">
        <v>2246</v>
      </c>
      <c r="B289" s="1852" t="s">
        <v>16</v>
      </c>
      <c r="C289" s="1852" t="s">
        <v>2566</v>
      </c>
      <c r="D289" s="1852" t="s">
        <v>2567</v>
      </c>
      <c r="E289" s="1852" t="s">
        <v>2568</v>
      </c>
      <c r="F289" s="1852" t="s">
        <v>2554</v>
      </c>
      <c r="G289" s="1852" t="s">
        <v>22</v>
      </c>
      <c r="H289" s="1852" t="s">
        <v>22</v>
      </c>
      <c r="I289" s="1852" t="s">
        <v>894</v>
      </c>
    </row>
    <row customHeight="1" ht="11.25">
      <c r="A290" s="1852" t="s">
        <v>2246</v>
      </c>
      <c r="B290" s="1852" t="s">
        <v>16</v>
      </c>
      <c r="C290" s="1852" t="s">
        <v>2577</v>
      </c>
      <c r="D290" s="1852" t="s">
        <v>2578</v>
      </c>
      <c r="E290" s="1852" t="s">
        <v>2579</v>
      </c>
      <c r="F290" s="1852" t="s">
        <v>2333</v>
      </c>
      <c r="G290" s="1852" t="s">
        <v>2580</v>
      </c>
      <c r="H290" s="1852" t="s">
        <v>22</v>
      </c>
      <c r="I290" s="1852" t="s">
        <v>894</v>
      </c>
    </row>
    <row customHeight="1" ht="11.25">
      <c r="A291" s="1852" t="s">
        <v>2246</v>
      </c>
      <c r="B291" s="1852" t="s">
        <v>16</v>
      </c>
      <c r="C291" s="1852" t="s">
        <v>2604</v>
      </c>
      <c r="D291" s="1852" t="s">
        <v>2605</v>
      </c>
      <c r="E291" s="1852" t="s">
        <v>2606</v>
      </c>
      <c r="F291" s="1852" t="s">
        <v>2326</v>
      </c>
      <c r="G291" s="1852" t="s">
        <v>2607</v>
      </c>
      <c r="H291" s="1852" t="s">
        <v>22</v>
      </c>
      <c r="I291" s="1852" t="s">
        <v>894</v>
      </c>
    </row>
    <row customHeight="1" ht="11.25">
      <c r="A292" s="1852" t="s">
        <v>2246</v>
      </c>
      <c r="B292" s="1852" t="s">
        <v>16</v>
      </c>
      <c r="C292" s="1852" t="s">
        <v>2615</v>
      </c>
      <c r="D292" s="1852" t="s">
        <v>2616</v>
      </c>
      <c r="E292" s="1852" t="s">
        <v>2617</v>
      </c>
      <c r="F292" s="1852" t="s">
        <v>2618</v>
      </c>
      <c r="G292" s="1852" t="s">
        <v>2619</v>
      </c>
      <c r="H292" s="1852" t="s">
        <v>22</v>
      </c>
      <c r="I292" s="1852" t="s">
        <v>894</v>
      </c>
    </row>
    <row customHeight="1" ht="11.25">
      <c r="A293" s="1852" t="s">
        <v>2246</v>
      </c>
      <c r="B293" s="1852" t="s">
        <v>16</v>
      </c>
      <c r="C293" s="1852" t="s">
        <v>2629</v>
      </c>
      <c r="D293" s="1852" t="s">
        <v>2630</v>
      </c>
      <c r="E293" s="1852" t="s">
        <v>2631</v>
      </c>
      <c r="F293" s="1852" t="s">
        <v>2623</v>
      </c>
      <c r="G293" s="1852" t="s">
        <v>2632</v>
      </c>
      <c r="H293" s="1852" t="s">
        <v>22</v>
      </c>
      <c r="I293" s="1852" t="s">
        <v>894</v>
      </c>
    </row>
    <row customHeight="1" ht="11.25">
      <c r="A294" s="1852" t="s">
        <v>2246</v>
      </c>
      <c r="B294" s="1852" t="s">
        <v>16</v>
      </c>
      <c r="C294" s="1852" t="s">
        <v>2644</v>
      </c>
      <c r="D294" s="1852" t="s">
        <v>2645</v>
      </c>
      <c r="E294" s="1852" t="s">
        <v>2646</v>
      </c>
      <c r="F294" s="1852" t="s">
        <v>2554</v>
      </c>
      <c r="G294" s="1852" t="s">
        <v>2647</v>
      </c>
      <c r="H294" s="1852" t="s">
        <v>22</v>
      </c>
      <c r="I294" s="1852" t="s">
        <v>894</v>
      </c>
    </row>
    <row customHeight="1" ht="11.25">
      <c r="A295" s="1852" t="s">
        <v>2246</v>
      </c>
      <c r="B295" s="1852" t="s">
        <v>16</v>
      </c>
      <c r="C295" s="1852" t="s">
        <v>2656</v>
      </c>
      <c r="D295" s="1852" t="s">
        <v>2657</v>
      </c>
      <c r="E295" s="1852" t="s">
        <v>2658</v>
      </c>
      <c r="F295" s="1852" t="s">
        <v>2318</v>
      </c>
      <c r="G295" s="1852" t="s">
        <v>22</v>
      </c>
      <c r="H295" s="1852" t="s">
        <v>22</v>
      </c>
      <c r="I295" s="1852" t="s">
        <v>894</v>
      </c>
    </row>
    <row customHeight="1" ht="11.25">
      <c r="A296" s="1852" t="s">
        <v>2246</v>
      </c>
      <c r="B296" s="1852" t="s">
        <v>16</v>
      </c>
      <c r="C296" s="1852" t="s">
        <v>2662</v>
      </c>
      <c r="D296" s="1852" t="s">
        <v>2663</v>
      </c>
      <c r="E296" s="1852" t="s">
        <v>2664</v>
      </c>
      <c r="F296" s="1852" t="s">
        <v>2318</v>
      </c>
      <c r="G296" s="1852" t="s">
        <v>2665</v>
      </c>
      <c r="H296" s="1852" t="s">
        <v>22</v>
      </c>
      <c r="I296" s="1852" t="s">
        <v>894</v>
      </c>
    </row>
    <row customHeight="1" ht="11.25">
      <c r="A297" s="1852" t="s">
        <v>2246</v>
      </c>
      <c r="B297" s="1852" t="s">
        <v>16</v>
      </c>
      <c r="C297" s="1852" t="s">
        <v>2674</v>
      </c>
      <c r="D297" s="1852" t="s">
        <v>2675</v>
      </c>
      <c r="E297" s="1852" t="s">
        <v>2676</v>
      </c>
      <c r="F297" s="1852" t="s">
        <v>2318</v>
      </c>
      <c r="G297" s="1852" t="s">
        <v>22</v>
      </c>
      <c r="H297" s="1852" t="s">
        <v>22</v>
      </c>
      <c r="I297" s="1852" t="s">
        <v>894</v>
      </c>
    </row>
    <row customHeight="1" ht="11.25">
      <c r="A298" s="1852" t="s">
        <v>2246</v>
      </c>
      <c r="B298" s="1852" t="s">
        <v>16</v>
      </c>
      <c r="C298" s="1852" t="s">
        <v>2677</v>
      </c>
      <c r="D298" s="1852" t="s">
        <v>2678</v>
      </c>
      <c r="E298" s="1852" t="s">
        <v>2679</v>
      </c>
      <c r="F298" s="1852" t="s">
        <v>2534</v>
      </c>
      <c r="G298" s="1852" t="s">
        <v>22</v>
      </c>
      <c r="H298" s="1852" t="s">
        <v>22</v>
      </c>
      <c r="I298" s="1852" t="s">
        <v>894</v>
      </c>
    </row>
    <row customHeight="1" ht="11.25">
      <c r="A299" s="1852" t="s">
        <v>2246</v>
      </c>
      <c r="B299" s="1852" t="s">
        <v>16</v>
      </c>
      <c r="C299" s="1852" t="s">
        <v>2680</v>
      </c>
      <c r="D299" s="1852" t="s">
        <v>2678</v>
      </c>
      <c r="E299" s="1852" t="s">
        <v>2679</v>
      </c>
      <c r="F299" s="1852" t="s">
        <v>2609</v>
      </c>
      <c r="G299" s="1852" t="s">
        <v>22</v>
      </c>
      <c r="H299" s="1852" t="s">
        <v>22</v>
      </c>
      <c r="I299" s="1852" t="s">
        <v>894</v>
      </c>
    </row>
    <row customHeight="1" ht="11.25">
      <c r="A300" s="1852" t="s">
        <v>2246</v>
      </c>
      <c r="B300" s="1852" t="s">
        <v>16</v>
      </c>
      <c r="C300" s="1852" t="s">
        <v>2716</v>
      </c>
      <c r="D300" s="1852" t="s">
        <v>2717</v>
      </c>
      <c r="E300" s="1852" t="s">
        <v>2718</v>
      </c>
      <c r="F300" s="1852" t="s">
        <v>2326</v>
      </c>
      <c r="G300" s="1852" t="s">
        <v>22</v>
      </c>
      <c r="H300" s="1852" t="s">
        <v>22</v>
      </c>
      <c r="I300" s="1852" t="s">
        <v>894</v>
      </c>
    </row>
    <row customHeight="1" ht="11.25">
      <c r="A301" s="1852" t="s">
        <v>2246</v>
      </c>
      <c r="B301" s="1852" t="s">
        <v>16</v>
      </c>
      <c r="C301" s="1852" t="s">
        <v>2723</v>
      </c>
      <c r="D301" s="1852" t="s">
        <v>2724</v>
      </c>
      <c r="E301" s="1852" t="s">
        <v>2725</v>
      </c>
      <c r="F301" s="1852" t="s">
        <v>2318</v>
      </c>
      <c r="G301" s="1852" t="s">
        <v>22</v>
      </c>
      <c r="H301" s="1852" t="s">
        <v>22</v>
      </c>
      <c r="I301" s="1852" t="s">
        <v>894</v>
      </c>
    </row>
    <row customHeight="1" ht="11.25">
      <c r="A302" s="1852" t="s">
        <v>2246</v>
      </c>
      <c r="B302" s="1852" t="s">
        <v>16</v>
      </c>
      <c r="C302" s="1852" t="s">
        <v>2726</v>
      </c>
      <c r="D302" s="1852" t="s">
        <v>2727</v>
      </c>
      <c r="E302" s="1852" t="s">
        <v>2728</v>
      </c>
      <c r="F302" s="1852" t="s">
        <v>2326</v>
      </c>
      <c r="G302" s="1852" t="s">
        <v>22</v>
      </c>
      <c r="H302" s="1852" t="s">
        <v>22</v>
      </c>
      <c r="I302" s="1852" t="s">
        <v>894</v>
      </c>
    </row>
    <row customHeight="1" ht="11.25">
      <c r="A303" s="1852" t="s">
        <v>2246</v>
      </c>
      <c r="B303" s="1852" t="s">
        <v>16</v>
      </c>
      <c r="C303" s="1852" t="s">
        <v>2749</v>
      </c>
      <c r="D303" s="1852" t="s">
        <v>2750</v>
      </c>
      <c r="E303" s="1852" t="s">
        <v>2751</v>
      </c>
      <c r="F303" s="1852" t="s">
        <v>2274</v>
      </c>
      <c r="G303" s="1852" t="s">
        <v>22</v>
      </c>
      <c r="H303" s="1852" t="s">
        <v>22</v>
      </c>
      <c r="I303" s="1852" t="s">
        <v>894</v>
      </c>
    </row>
    <row customHeight="1" ht="11.25">
      <c r="A304" s="1852" t="s">
        <v>2246</v>
      </c>
      <c r="B304" s="1852" t="s">
        <v>16</v>
      </c>
      <c r="C304" s="1852" t="s">
        <v>2776</v>
      </c>
      <c r="D304" s="1852" t="s">
        <v>2777</v>
      </c>
      <c r="E304" s="1852" t="s">
        <v>2778</v>
      </c>
      <c r="F304" s="1852" t="s">
        <v>2326</v>
      </c>
      <c r="G304" s="1852" t="s">
        <v>22</v>
      </c>
      <c r="H304" s="1852" t="s">
        <v>22</v>
      </c>
      <c r="I304" s="1852" t="s">
        <v>894</v>
      </c>
    </row>
    <row customHeight="1" ht="11.25">
      <c r="A305" s="1852" t="s">
        <v>2246</v>
      </c>
      <c r="B305" s="1852" t="s">
        <v>16</v>
      </c>
      <c r="C305" s="1852" t="s">
        <v>2799</v>
      </c>
      <c r="D305" s="1852" t="s">
        <v>2800</v>
      </c>
      <c r="E305" s="1852" t="s">
        <v>2801</v>
      </c>
      <c r="F305" s="1852" t="s">
        <v>2333</v>
      </c>
      <c r="G305" s="1852" t="s">
        <v>22</v>
      </c>
      <c r="H305" s="1852" t="s">
        <v>22</v>
      </c>
      <c r="I305" s="1852" t="s">
        <v>894</v>
      </c>
    </row>
    <row customHeight="1" ht="11.25">
      <c r="A306" s="1852" t="s">
        <v>2246</v>
      </c>
      <c r="B306" s="1852" t="s">
        <v>16</v>
      </c>
      <c r="C306" s="1852" t="s">
        <v>2808</v>
      </c>
      <c r="D306" s="1852" t="s">
        <v>2809</v>
      </c>
      <c r="E306" s="1852" t="s">
        <v>2810</v>
      </c>
      <c r="F306" s="1852" t="s">
        <v>2250</v>
      </c>
      <c r="G306" s="1852" t="s">
        <v>22</v>
      </c>
      <c r="H306" s="1852" t="s">
        <v>22</v>
      </c>
      <c r="I306" s="1852" t="s">
        <v>894</v>
      </c>
    </row>
    <row customHeight="1" ht="11.25">
      <c r="A307" s="1852" t="s">
        <v>2246</v>
      </c>
      <c r="B307" s="1852" t="s">
        <v>16</v>
      </c>
      <c r="C307" s="1852" t="s">
        <v>2814</v>
      </c>
      <c r="D307" s="1852" t="s">
        <v>2815</v>
      </c>
      <c r="E307" s="1852" t="s">
        <v>2816</v>
      </c>
      <c r="F307" s="1852" t="s">
        <v>2250</v>
      </c>
      <c r="G307" s="1852" t="s">
        <v>22</v>
      </c>
      <c r="H307" s="1852" t="s">
        <v>22</v>
      </c>
      <c r="I307" s="1852" t="s">
        <v>894</v>
      </c>
    </row>
    <row customHeight="1" ht="11.25">
      <c r="A308" s="1852" t="s">
        <v>2246</v>
      </c>
      <c r="B308" s="1852" t="s">
        <v>16</v>
      </c>
      <c r="C308" s="1852" t="s">
        <v>2844</v>
      </c>
      <c r="D308" s="1852" t="s">
        <v>2845</v>
      </c>
      <c r="E308" s="1852" t="s">
        <v>2846</v>
      </c>
      <c r="F308" s="1852" t="s">
        <v>2392</v>
      </c>
      <c r="G308" s="1852" t="s">
        <v>22</v>
      </c>
      <c r="H308" s="1852" t="s">
        <v>22</v>
      </c>
      <c r="I308" s="1852" t="s">
        <v>894</v>
      </c>
    </row>
    <row customHeight="1" ht="11.25">
      <c r="A309" s="1852" t="s">
        <v>2246</v>
      </c>
      <c r="B309" s="1852" t="s">
        <v>16</v>
      </c>
      <c r="C309" s="1852" t="s">
        <v>2857</v>
      </c>
      <c r="D309" s="1852" t="s">
        <v>2858</v>
      </c>
      <c r="E309" s="1852" t="s">
        <v>2859</v>
      </c>
      <c r="F309" s="1852" t="s">
        <v>2860</v>
      </c>
      <c r="G309" s="1852" t="s">
        <v>2861</v>
      </c>
      <c r="H309" s="1852" t="s">
        <v>22</v>
      </c>
      <c r="I309" s="1852" t="s">
        <v>894</v>
      </c>
    </row>
    <row customHeight="1" ht="11.25">
      <c r="A310" s="1852" t="s">
        <v>2246</v>
      </c>
      <c r="B310" s="1852" t="s">
        <v>16</v>
      </c>
      <c r="C310" s="1852" t="s">
        <v>3155</v>
      </c>
      <c r="D310" s="1852" t="s">
        <v>3156</v>
      </c>
      <c r="E310" s="1852" t="s">
        <v>3157</v>
      </c>
      <c r="F310" s="1852" t="s">
        <v>2592</v>
      </c>
      <c r="G310" s="1852" t="s">
        <v>3158</v>
      </c>
      <c r="H310" s="1852" t="s">
        <v>22</v>
      </c>
      <c r="I310" s="1852" t="s">
        <v>894</v>
      </c>
    </row>
    <row customHeight="1" ht="11.25">
      <c r="A311" s="1852" t="s">
        <v>2246</v>
      </c>
      <c r="B311" s="1852" t="s">
        <v>16</v>
      </c>
      <c r="C311" s="1852" t="s">
        <v>2886</v>
      </c>
      <c r="D311" s="1852" t="s">
        <v>2887</v>
      </c>
      <c r="E311" s="1852" t="s">
        <v>2888</v>
      </c>
      <c r="F311" s="1852" t="s">
        <v>2534</v>
      </c>
      <c r="G311" s="1852" t="s">
        <v>22</v>
      </c>
      <c r="H311" s="1852" t="s">
        <v>22</v>
      </c>
      <c r="I311" s="1852" t="s">
        <v>894</v>
      </c>
    </row>
    <row customHeight="1" ht="11.25">
      <c r="A312" s="1852" t="s">
        <v>2246</v>
      </c>
      <c r="B312" s="1852" t="s">
        <v>16</v>
      </c>
      <c r="C312" s="1852" t="s">
        <v>2889</v>
      </c>
      <c r="D312" s="1852" t="s">
        <v>2890</v>
      </c>
      <c r="E312" s="1852" t="s">
        <v>2891</v>
      </c>
      <c r="F312" s="1852" t="s">
        <v>2554</v>
      </c>
      <c r="G312" s="1852" t="s">
        <v>22</v>
      </c>
      <c r="H312" s="1852" t="s">
        <v>22</v>
      </c>
      <c r="I312" s="1852" t="s">
        <v>894</v>
      </c>
    </row>
    <row customHeight="1" ht="11.25">
      <c r="A313" s="1852" t="s">
        <v>2246</v>
      </c>
      <c r="B313" s="1852" t="s">
        <v>16</v>
      </c>
      <c r="C313" s="1852" t="s">
        <v>2948</v>
      </c>
      <c r="D313" s="1852" t="s">
        <v>2949</v>
      </c>
      <c r="E313" s="1852" t="s">
        <v>2950</v>
      </c>
      <c r="F313" s="1852" t="s">
        <v>2326</v>
      </c>
      <c r="G313" s="1852" t="s">
        <v>2951</v>
      </c>
      <c r="H313" s="1852" t="s">
        <v>22</v>
      </c>
      <c r="I313" s="1852" t="s">
        <v>894</v>
      </c>
    </row>
    <row customHeight="1" ht="11.25">
      <c r="A314" s="1852" t="s">
        <v>2246</v>
      </c>
      <c r="B314" s="1852" t="s">
        <v>16</v>
      </c>
      <c r="C314" s="1852" t="s">
        <v>2962</v>
      </c>
      <c r="D314" s="1852" t="s">
        <v>2963</v>
      </c>
      <c r="E314" s="1852" t="s">
        <v>2964</v>
      </c>
      <c r="F314" s="1852" t="s">
        <v>2250</v>
      </c>
      <c r="G314" s="1852" t="s">
        <v>22</v>
      </c>
      <c r="H314" s="1852" t="s">
        <v>22</v>
      </c>
      <c r="I314" s="1852" t="s">
        <v>894</v>
      </c>
    </row>
    <row customHeight="1" ht="11.25">
      <c r="A315" s="1852" t="s">
        <v>2246</v>
      </c>
      <c r="B315" s="1852" t="s">
        <v>16</v>
      </c>
      <c r="C315" s="1852" t="s">
        <v>2971</v>
      </c>
      <c r="D315" s="1852" t="s">
        <v>2969</v>
      </c>
      <c r="E315" s="1852" t="s">
        <v>2972</v>
      </c>
      <c r="F315" s="1852" t="s">
        <v>2534</v>
      </c>
      <c r="G315" s="1852" t="s">
        <v>2973</v>
      </c>
      <c r="H315" s="1852" t="s">
        <v>22</v>
      </c>
      <c r="I315" s="1852" t="s">
        <v>894</v>
      </c>
    </row>
    <row customHeight="1" ht="11.25">
      <c r="A316" s="1852" t="s">
        <v>2246</v>
      </c>
      <c r="B316" s="1852" t="s">
        <v>16</v>
      </c>
      <c r="C316" s="1852" t="s">
        <v>2974</v>
      </c>
      <c r="D316" s="1852" t="s">
        <v>2975</v>
      </c>
      <c r="E316" s="1852" t="s">
        <v>2976</v>
      </c>
      <c r="F316" s="1852" t="s">
        <v>2623</v>
      </c>
      <c r="G316" s="1852" t="s">
        <v>22</v>
      </c>
      <c r="H316" s="1852" t="s">
        <v>22</v>
      </c>
      <c r="I316" s="1852" t="s">
        <v>894</v>
      </c>
    </row>
    <row customHeight="1" ht="11.25">
      <c r="A317" s="1852" t="s">
        <v>2246</v>
      </c>
      <c r="B317" s="1852" t="s">
        <v>16</v>
      </c>
      <c r="C317" s="1852" t="s">
        <v>2980</v>
      </c>
      <c r="D317" s="1852" t="s">
        <v>2981</v>
      </c>
      <c r="E317" s="1852" t="s">
        <v>2982</v>
      </c>
      <c r="F317" s="1852" t="s">
        <v>2373</v>
      </c>
      <c r="G317" s="1852" t="s">
        <v>22</v>
      </c>
      <c r="H317" s="1852" t="s">
        <v>22</v>
      </c>
      <c r="I317" s="1852" t="s">
        <v>894</v>
      </c>
    </row>
    <row customHeight="1" ht="11.25">
      <c r="A318" s="1852" t="s">
        <v>2246</v>
      </c>
      <c r="B318" s="1852" t="s">
        <v>16</v>
      </c>
      <c r="C318" s="1852" t="s">
        <v>2986</v>
      </c>
      <c r="D318" s="1852" t="s">
        <v>2987</v>
      </c>
      <c r="E318" s="1852" t="s">
        <v>2988</v>
      </c>
      <c r="F318" s="1852" t="s">
        <v>2613</v>
      </c>
      <c r="G318" s="1852" t="s">
        <v>22</v>
      </c>
      <c r="H318" s="1852" t="s">
        <v>22</v>
      </c>
      <c r="I318" s="1852" t="s">
        <v>894</v>
      </c>
    </row>
    <row customHeight="1" ht="11.25">
      <c r="A319" s="1852" t="s">
        <v>2246</v>
      </c>
      <c r="B319" s="1852" t="s">
        <v>16</v>
      </c>
      <c r="C319" s="1852" t="s">
        <v>2989</v>
      </c>
      <c r="D319" s="1852" t="s">
        <v>2990</v>
      </c>
      <c r="E319" s="1852" t="s">
        <v>2991</v>
      </c>
      <c r="F319" s="1852" t="s">
        <v>2373</v>
      </c>
      <c r="G319" s="1852" t="s">
        <v>22</v>
      </c>
      <c r="H319" s="1852" t="s">
        <v>22</v>
      </c>
      <c r="I319" s="1852" t="s">
        <v>894</v>
      </c>
    </row>
    <row customHeight="1" ht="11.25">
      <c r="A320" s="1852" t="s">
        <v>2246</v>
      </c>
      <c r="B320" s="1852" t="s">
        <v>16</v>
      </c>
      <c r="C320" s="1852" t="s">
        <v>3017</v>
      </c>
      <c r="D320" s="1852" t="s">
        <v>3018</v>
      </c>
      <c r="E320" s="1852" t="s">
        <v>3019</v>
      </c>
      <c r="F320" s="1852" t="s">
        <v>2759</v>
      </c>
      <c r="G320" s="1852" t="s">
        <v>3020</v>
      </c>
      <c r="H320" s="1852" t="s">
        <v>22</v>
      </c>
      <c r="I320" s="1852" t="s">
        <v>894</v>
      </c>
    </row>
    <row customHeight="1" ht="11.25">
      <c r="A321" s="1852" t="s">
        <v>2246</v>
      </c>
      <c r="B321" s="1852" t="s">
        <v>16</v>
      </c>
      <c r="C321" s="1852" t="s">
        <v>3038</v>
      </c>
      <c r="D321" s="1852" t="s">
        <v>3039</v>
      </c>
      <c r="E321" s="1852" t="s">
        <v>3040</v>
      </c>
      <c r="F321" s="1852" t="s">
        <v>2534</v>
      </c>
      <c r="G321" s="1852" t="s">
        <v>3041</v>
      </c>
      <c r="H321" s="1852" t="s">
        <v>22</v>
      </c>
      <c r="I321" s="1852" t="s">
        <v>894</v>
      </c>
    </row>
    <row customHeight="1" ht="11.25">
      <c r="A322" s="1852" t="s">
        <v>2246</v>
      </c>
      <c r="B322" s="1852" t="s">
        <v>16</v>
      </c>
      <c r="C322" s="1852" t="s">
        <v>3042</v>
      </c>
      <c r="D322" s="1852" t="s">
        <v>3043</v>
      </c>
      <c r="E322" s="1852" t="s">
        <v>3044</v>
      </c>
      <c r="F322" s="1852" t="s">
        <v>2373</v>
      </c>
      <c r="G322" s="1852" t="s">
        <v>22</v>
      </c>
      <c r="H322" s="1852" t="s">
        <v>22</v>
      </c>
      <c r="I322" s="1852" t="s">
        <v>894</v>
      </c>
    </row>
    <row customHeight="1" ht="11.25">
      <c r="A323" s="1852" t="s">
        <v>2246</v>
      </c>
      <c r="B323" s="1852" t="s">
        <v>16</v>
      </c>
      <c r="C323" s="1852" t="s">
        <v>3049</v>
      </c>
      <c r="D323" s="1852" t="s">
        <v>3050</v>
      </c>
      <c r="E323" s="1852" t="s">
        <v>3051</v>
      </c>
      <c r="F323" s="1852" t="s">
        <v>2365</v>
      </c>
      <c r="G323" s="1852" t="s">
        <v>22</v>
      </c>
      <c r="H323" s="1852" t="s">
        <v>22</v>
      </c>
      <c r="I323" s="1852" t="s">
        <v>894</v>
      </c>
    </row>
    <row customHeight="1" ht="11.25">
      <c r="A324" s="1852" t="s">
        <v>2246</v>
      </c>
      <c r="B324" s="1852" t="s">
        <v>16</v>
      </c>
      <c r="C324" s="1852" t="s">
        <v>3159</v>
      </c>
      <c r="D324" s="1852" t="s">
        <v>3160</v>
      </c>
      <c r="E324" s="1852" t="s">
        <v>3161</v>
      </c>
      <c r="F324" s="1852" t="s">
        <v>3162</v>
      </c>
      <c r="G324" s="1852" t="s">
        <v>22</v>
      </c>
      <c r="H324" s="1852" t="s">
        <v>22</v>
      </c>
      <c r="I324" s="1852" t="s">
        <v>894</v>
      </c>
    </row>
    <row customHeight="1" ht="11.25">
      <c r="A325" s="1852" t="s">
        <v>2246</v>
      </c>
      <c r="B325" s="1852" t="s">
        <v>16</v>
      </c>
      <c r="C325" s="1852" t="s">
        <v>3087</v>
      </c>
      <c r="D325" s="1852" t="s">
        <v>3088</v>
      </c>
      <c r="E325" s="1852" t="s">
        <v>3089</v>
      </c>
      <c r="F325" s="1852" t="s">
        <v>2618</v>
      </c>
      <c r="G325" s="1852" t="s">
        <v>2651</v>
      </c>
      <c r="H325" s="1852" t="s">
        <v>22</v>
      </c>
      <c r="I325" s="1852" t="s">
        <v>894</v>
      </c>
    </row>
    <row customHeight="1" ht="11.25">
      <c r="A326" s="1852" t="s">
        <v>2246</v>
      </c>
      <c r="B326" s="1852" t="s">
        <v>16</v>
      </c>
      <c r="C326" s="1852" t="s">
        <v>3090</v>
      </c>
      <c r="D326" s="1852" t="s">
        <v>3091</v>
      </c>
      <c r="E326" s="1852" t="s">
        <v>3092</v>
      </c>
      <c r="F326" s="1852" t="s">
        <v>2618</v>
      </c>
      <c r="G326" s="1852" t="s">
        <v>2651</v>
      </c>
      <c r="H326" s="1852" t="s">
        <v>22</v>
      </c>
      <c r="I326" s="1852" t="s">
        <v>894</v>
      </c>
    </row>
    <row customHeight="1" ht="11.25">
      <c r="A327" s="1852" t="s">
        <v>2246</v>
      </c>
      <c r="B327" s="1852" t="s">
        <v>16</v>
      </c>
      <c r="C327" s="1852" t="s">
        <v>3099</v>
      </c>
      <c r="D327" s="1852" t="s">
        <v>3100</v>
      </c>
      <c r="E327" s="1852" t="s">
        <v>3101</v>
      </c>
      <c r="F327" s="1852" t="s">
        <v>2274</v>
      </c>
      <c r="G327" s="1852" t="s">
        <v>22</v>
      </c>
      <c r="H327" s="1852" t="s">
        <v>22</v>
      </c>
      <c r="I327" s="1852" t="s">
        <v>894</v>
      </c>
    </row>
    <row customHeight="1" ht="11.25">
      <c r="A328" s="1852" t="s">
        <v>2246</v>
      </c>
      <c r="B328" s="1852" t="s">
        <v>16</v>
      </c>
      <c r="C328" s="1852" t="s">
        <v>3114</v>
      </c>
      <c r="D328" s="1852" t="s">
        <v>3115</v>
      </c>
      <c r="E328" s="1852" t="s">
        <v>3116</v>
      </c>
      <c r="F328" s="1852" t="s">
        <v>2318</v>
      </c>
      <c r="G328" s="1852" t="s">
        <v>22</v>
      </c>
      <c r="H328" s="1852" t="s">
        <v>22</v>
      </c>
      <c r="I328" s="1852" t="s">
        <v>894</v>
      </c>
    </row>
    <row customHeight="1" ht="11.25">
      <c r="A329" s="1852" t="s">
        <v>2246</v>
      </c>
      <c r="B329" s="1852" t="s">
        <v>16</v>
      </c>
      <c r="C329" s="1852" t="s">
        <v>3120</v>
      </c>
      <c r="D329" s="1852" t="s">
        <v>3121</v>
      </c>
      <c r="E329" s="1852" t="s">
        <v>2417</v>
      </c>
      <c r="F329" s="1852" t="s">
        <v>3122</v>
      </c>
      <c r="G329" s="1852" t="s">
        <v>22</v>
      </c>
      <c r="H329" s="1852" t="s">
        <v>22</v>
      </c>
      <c r="I329" s="1852" t="s">
        <v>894</v>
      </c>
    </row>
    <row customHeight="1" ht="11.25">
      <c r="A330" s="1852" t="s">
        <v>2246</v>
      </c>
      <c r="B330" s="1852" t="s">
        <v>16</v>
      </c>
      <c r="C330" s="1852" t="s">
        <v>3123</v>
      </c>
      <c r="D330" s="1852" t="s">
        <v>3124</v>
      </c>
      <c r="E330" s="1852" t="s">
        <v>3125</v>
      </c>
      <c r="F330" s="1852" t="s">
        <v>3126</v>
      </c>
      <c r="G330" s="1852" t="s">
        <v>3127</v>
      </c>
      <c r="H330" s="1852" t="s">
        <v>22</v>
      </c>
      <c r="I330" s="1852" t="s">
        <v>894</v>
      </c>
    </row>
    <row customHeight="1" ht="11.25">
      <c r="A331" s="1852" t="s">
        <v>2246</v>
      </c>
      <c r="B331" s="1852" t="s">
        <v>16</v>
      </c>
      <c r="C331" s="1852" t="s">
        <v>3133</v>
      </c>
      <c r="D331" s="1852" t="s">
        <v>3134</v>
      </c>
      <c r="E331" s="1852" t="s">
        <v>3135</v>
      </c>
      <c r="F331" s="1852" t="s">
        <v>3136</v>
      </c>
      <c r="G331" s="1852" t="s">
        <v>22</v>
      </c>
      <c r="H331" s="1852" t="s">
        <v>22</v>
      </c>
      <c r="I331" s="1852" t="s">
        <v>894</v>
      </c>
    </row>
    <row customHeight="1" ht="11.25">
      <c r="A332" s="1852" t="s">
        <v>2246</v>
      </c>
      <c r="B332" s="1852" t="s">
        <v>16</v>
      </c>
      <c r="C332" s="1852" t="s">
        <v>2251</v>
      </c>
      <c r="D332" s="1852" t="s">
        <v>2252</v>
      </c>
      <c r="E332" s="1852" t="s">
        <v>2253</v>
      </c>
      <c r="F332" s="1852" t="s">
        <v>2254</v>
      </c>
      <c r="G332" s="1852" t="s">
        <v>2255</v>
      </c>
      <c r="H332" s="1852" t="s">
        <v>22</v>
      </c>
      <c r="I332" s="1852" t="s">
        <v>854</v>
      </c>
    </row>
    <row customHeight="1" ht="11.25">
      <c r="A333" s="1852" t="s">
        <v>2246</v>
      </c>
      <c r="B333" s="1852" t="s">
        <v>16</v>
      </c>
      <c r="C333" s="1852" t="s">
        <v>2256</v>
      </c>
      <c r="D333" s="1852" t="s">
        <v>2257</v>
      </c>
      <c r="E333" s="1852" t="s">
        <v>2258</v>
      </c>
      <c r="F333" s="1852" t="s">
        <v>2259</v>
      </c>
      <c r="G333" s="1852" t="s">
        <v>2260</v>
      </c>
      <c r="H333" s="1852" t="s">
        <v>2261</v>
      </c>
      <c r="I333" s="1852" t="s">
        <v>854</v>
      </c>
    </row>
    <row customHeight="1" ht="11.25">
      <c r="A334" s="1852" t="s">
        <v>2246</v>
      </c>
      <c r="B334" s="1852" t="s">
        <v>16</v>
      </c>
      <c r="C334" s="1852" t="s">
        <v>2262</v>
      </c>
      <c r="D334" s="1852" t="s">
        <v>2263</v>
      </c>
      <c r="E334" s="1852" t="s">
        <v>2264</v>
      </c>
      <c r="F334" s="1852" t="s">
        <v>2259</v>
      </c>
      <c r="G334" s="1852" t="s">
        <v>2265</v>
      </c>
      <c r="H334" s="1852" t="s">
        <v>2266</v>
      </c>
      <c r="I334" s="1852" t="s">
        <v>854</v>
      </c>
    </row>
    <row customHeight="1" ht="11.25">
      <c r="A335" s="1852" t="s">
        <v>2246</v>
      </c>
      <c r="B335" s="1852" t="s">
        <v>16</v>
      </c>
      <c r="C335" s="1852" t="s">
        <v>2267</v>
      </c>
      <c r="D335" s="1852" t="s">
        <v>2268</v>
      </c>
      <c r="E335" s="1852" t="s">
        <v>2269</v>
      </c>
      <c r="F335" s="1852" t="s">
        <v>2259</v>
      </c>
      <c r="G335" s="1852" t="s">
        <v>2270</v>
      </c>
      <c r="H335" s="1852" t="s">
        <v>22</v>
      </c>
      <c r="I335" s="1852" t="s">
        <v>854</v>
      </c>
    </row>
    <row customHeight="1" ht="11.25">
      <c r="A336" s="1852" t="s">
        <v>2246</v>
      </c>
      <c r="B336" s="1852" t="s">
        <v>16</v>
      </c>
      <c r="C336" s="1852" t="s">
        <v>2275</v>
      </c>
      <c r="D336" s="1852" t="s">
        <v>2276</v>
      </c>
      <c r="E336" s="1852" t="s">
        <v>2277</v>
      </c>
      <c r="F336" s="1852" t="s">
        <v>2274</v>
      </c>
      <c r="G336" s="1852" t="s">
        <v>22</v>
      </c>
      <c r="H336" s="1852" t="s">
        <v>22</v>
      </c>
      <c r="I336" s="1852" t="s">
        <v>854</v>
      </c>
    </row>
    <row customHeight="1" ht="11.25">
      <c r="A337" s="1852" t="s">
        <v>2246</v>
      </c>
      <c r="B337" s="1852" t="s">
        <v>16</v>
      </c>
      <c r="C337" s="1852" t="s">
        <v>2278</v>
      </c>
      <c r="D337" s="1852" t="s">
        <v>2279</v>
      </c>
      <c r="E337" s="1852" t="s">
        <v>2280</v>
      </c>
      <c r="F337" s="1852" t="s">
        <v>2281</v>
      </c>
      <c r="G337" s="1852" t="s">
        <v>2282</v>
      </c>
      <c r="H337" s="1852" t="s">
        <v>22</v>
      </c>
      <c r="I337" s="1852" t="s">
        <v>854</v>
      </c>
    </row>
    <row customHeight="1" ht="11.25">
      <c r="A338" s="1852" t="s">
        <v>2246</v>
      </c>
      <c r="B338" s="1852" t="s">
        <v>16</v>
      </c>
      <c r="C338" s="1852" t="s">
        <v>3163</v>
      </c>
      <c r="D338" s="1852" t="s">
        <v>3164</v>
      </c>
      <c r="E338" s="1852" t="s">
        <v>3165</v>
      </c>
      <c r="F338" s="1852" t="s">
        <v>2609</v>
      </c>
      <c r="G338" s="1852" t="s">
        <v>22</v>
      </c>
      <c r="H338" s="1852" t="s">
        <v>22</v>
      </c>
      <c r="I338" s="1852" t="s">
        <v>854</v>
      </c>
    </row>
    <row customHeight="1" ht="11.25">
      <c r="A339" s="1852" t="s">
        <v>2246</v>
      </c>
      <c r="B339" s="1852" t="s">
        <v>16</v>
      </c>
      <c r="C339" s="1852" t="s">
        <v>2308</v>
      </c>
      <c r="D339" s="1852" t="s">
        <v>2309</v>
      </c>
      <c r="E339" s="1852" t="s">
        <v>2310</v>
      </c>
      <c r="F339" s="1852" t="s">
        <v>2311</v>
      </c>
      <c r="G339" s="1852" t="s">
        <v>22</v>
      </c>
      <c r="H339" s="1852" t="s">
        <v>22</v>
      </c>
      <c r="I339" s="1852" t="s">
        <v>854</v>
      </c>
    </row>
    <row customHeight="1" ht="11.25">
      <c r="A340" s="1852" t="s">
        <v>2246</v>
      </c>
      <c r="B340" s="1852" t="s">
        <v>16</v>
      </c>
      <c r="C340" s="1852" t="s">
        <v>2315</v>
      </c>
      <c r="D340" s="1852" t="s">
        <v>2316</v>
      </c>
      <c r="E340" s="1852" t="s">
        <v>2317</v>
      </c>
      <c r="F340" s="1852" t="s">
        <v>2318</v>
      </c>
      <c r="G340" s="1852" t="s">
        <v>2319</v>
      </c>
      <c r="H340" s="1852" t="s">
        <v>22</v>
      </c>
      <c r="I340" s="1852" t="s">
        <v>854</v>
      </c>
    </row>
    <row customHeight="1" ht="11.25">
      <c r="A341" s="1852" t="s">
        <v>2246</v>
      </c>
      <c r="B341" s="1852" t="s">
        <v>16</v>
      </c>
      <c r="C341" s="1852" t="s">
        <v>2327</v>
      </c>
      <c r="D341" s="1852" t="s">
        <v>2328</v>
      </c>
      <c r="E341" s="1852" t="s">
        <v>2329</v>
      </c>
      <c r="F341" s="1852" t="s">
        <v>2274</v>
      </c>
      <c r="G341" s="1852" t="s">
        <v>22</v>
      </c>
      <c r="H341" s="1852" t="s">
        <v>22</v>
      </c>
      <c r="I341" s="1852" t="s">
        <v>854</v>
      </c>
    </row>
    <row customHeight="1" ht="11.25">
      <c r="A342" s="1852" t="s">
        <v>2246</v>
      </c>
      <c r="B342" s="1852" t="s">
        <v>16</v>
      </c>
      <c r="C342" s="1852" t="s">
        <v>2359</v>
      </c>
      <c r="D342" s="1852" t="s">
        <v>2360</v>
      </c>
      <c r="E342" s="1852" t="s">
        <v>2361</v>
      </c>
      <c r="F342" s="1852" t="s">
        <v>2333</v>
      </c>
      <c r="G342" s="1852" t="s">
        <v>22</v>
      </c>
      <c r="H342" s="1852" t="s">
        <v>22</v>
      </c>
      <c r="I342" s="1852" t="s">
        <v>854</v>
      </c>
    </row>
    <row customHeight="1" ht="11.25">
      <c r="A343" s="1852" t="s">
        <v>2246</v>
      </c>
      <c r="B343" s="1852" t="s">
        <v>16</v>
      </c>
      <c r="C343" s="1852" t="s">
        <v>2366</v>
      </c>
      <c r="D343" s="1852" t="s">
        <v>2367</v>
      </c>
      <c r="E343" s="1852" t="s">
        <v>2368</v>
      </c>
      <c r="F343" s="1852" t="s">
        <v>2369</v>
      </c>
      <c r="G343" s="1852" t="s">
        <v>22</v>
      </c>
      <c r="H343" s="1852" t="s">
        <v>22</v>
      </c>
      <c r="I343" s="1852" t="s">
        <v>854</v>
      </c>
    </row>
    <row customHeight="1" ht="11.25">
      <c r="A344" s="1852" t="s">
        <v>2246</v>
      </c>
      <c r="B344" s="1852" t="s">
        <v>16</v>
      </c>
      <c r="C344" s="1852" t="s">
        <v>3166</v>
      </c>
      <c r="D344" s="1852" t="s">
        <v>3167</v>
      </c>
      <c r="E344" s="1852" t="s">
        <v>3168</v>
      </c>
      <c r="F344" s="1852" t="s">
        <v>2592</v>
      </c>
      <c r="G344" s="1852" t="s">
        <v>22</v>
      </c>
      <c r="H344" s="1852" t="s">
        <v>3169</v>
      </c>
      <c r="I344" s="1852" t="s">
        <v>854</v>
      </c>
    </row>
    <row customHeight="1" ht="11.25">
      <c r="A345" s="1852" t="s">
        <v>2246</v>
      </c>
      <c r="B345" s="1852" t="s">
        <v>16</v>
      </c>
      <c r="C345" s="1852" t="s">
        <v>3170</v>
      </c>
      <c r="D345" s="1852" t="s">
        <v>3171</v>
      </c>
      <c r="E345" s="1852" t="s">
        <v>3172</v>
      </c>
      <c r="F345" s="1852" t="s">
        <v>2592</v>
      </c>
      <c r="G345" s="1852" t="s">
        <v>22</v>
      </c>
      <c r="H345" s="1852" t="s">
        <v>3169</v>
      </c>
      <c r="I345" s="1852" t="s">
        <v>854</v>
      </c>
    </row>
    <row customHeight="1" ht="11.25">
      <c r="A346" s="1852" t="s">
        <v>2246</v>
      </c>
      <c r="B346" s="1852" t="s">
        <v>16</v>
      </c>
      <c r="C346" s="1852" t="s">
        <v>3173</v>
      </c>
      <c r="D346" s="1852" t="s">
        <v>3171</v>
      </c>
      <c r="E346" s="1852" t="s">
        <v>3174</v>
      </c>
      <c r="F346" s="1852" t="s">
        <v>2254</v>
      </c>
      <c r="G346" s="1852" t="s">
        <v>22</v>
      </c>
      <c r="H346" s="1852" t="s">
        <v>22</v>
      </c>
      <c r="I346" s="1852" t="s">
        <v>854</v>
      </c>
    </row>
    <row customHeight="1" ht="11.25">
      <c r="A347" s="1852" t="s">
        <v>2246</v>
      </c>
      <c r="B347" s="1852" t="s">
        <v>16</v>
      </c>
      <c r="C347" s="1852" t="s">
        <v>3175</v>
      </c>
      <c r="D347" s="1852" t="s">
        <v>3176</v>
      </c>
      <c r="E347" s="1852" t="s">
        <v>3177</v>
      </c>
      <c r="F347" s="1852" t="s">
        <v>2333</v>
      </c>
      <c r="G347" s="1852" t="s">
        <v>22</v>
      </c>
      <c r="H347" s="1852" t="s">
        <v>22</v>
      </c>
      <c r="I347" s="1852" t="s">
        <v>854</v>
      </c>
    </row>
    <row customHeight="1" ht="11.25">
      <c r="A348" s="1852" t="s">
        <v>2246</v>
      </c>
      <c r="B348" s="1852" t="s">
        <v>16</v>
      </c>
      <c r="C348" s="1852" t="s">
        <v>2375</v>
      </c>
      <c r="D348" s="1852" t="s">
        <v>2376</v>
      </c>
      <c r="E348" s="1852" t="s">
        <v>2377</v>
      </c>
      <c r="F348" s="1852" t="s">
        <v>2259</v>
      </c>
      <c r="G348" s="1852" t="s">
        <v>22</v>
      </c>
      <c r="H348" s="1852" t="s">
        <v>2255</v>
      </c>
      <c r="I348" s="1852" t="s">
        <v>854</v>
      </c>
    </row>
    <row customHeight="1" ht="11.25">
      <c r="A349" s="1852" t="s">
        <v>2246</v>
      </c>
      <c r="B349" s="1852" t="s">
        <v>16</v>
      </c>
      <c r="C349" s="1852" t="s">
        <v>3178</v>
      </c>
      <c r="D349" s="1852" t="s">
        <v>3179</v>
      </c>
      <c r="E349" s="1852" t="s">
        <v>3180</v>
      </c>
      <c r="F349" s="1852" t="s">
        <v>2534</v>
      </c>
      <c r="G349" s="1852" t="s">
        <v>3181</v>
      </c>
      <c r="H349" s="1852" t="s">
        <v>22</v>
      </c>
      <c r="I349" s="1852" t="s">
        <v>854</v>
      </c>
    </row>
    <row customHeight="1" ht="11.25">
      <c r="A350" s="1852" t="s">
        <v>2246</v>
      </c>
      <c r="B350" s="1852" t="s">
        <v>16</v>
      </c>
      <c r="C350" s="1852" t="s">
        <v>2378</v>
      </c>
      <c r="D350" s="1852" t="s">
        <v>2379</v>
      </c>
      <c r="E350" s="1852" t="s">
        <v>2380</v>
      </c>
      <c r="F350" s="1852" t="s">
        <v>2259</v>
      </c>
      <c r="G350" s="1852" t="s">
        <v>2381</v>
      </c>
      <c r="H350" s="1852" t="s">
        <v>2382</v>
      </c>
      <c r="I350" s="1852" t="s">
        <v>854</v>
      </c>
    </row>
    <row customHeight="1" ht="11.25">
      <c r="A351" s="1852" t="s">
        <v>2246</v>
      </c>
      <c r="B351" s="1852" t="s">
        <v>16</v>
      </c>
      <c r="C351" s="1852" t="s">
        <v>2393</v>
      </c>
      <c r="D351" s="1852" t="s">
        <v>2394</v>
      </c>
      <c r="E351" s="1852" t="s">
        <v>2395</v>
      </c>
      <c r="F351" s="1852" t="s">
        <v>2259</v>
      </c>
      <c r="G351" s="1852" t="s">
        <v>2396</v>
      </c>
      <c r="H351" s="1852" t="s">
        <v>22</v>
      </c>
      <c r="I351" s="1852" t="s">
        <v>854</v>
      </c>
    </row>
    <row customHeight="1" ht="11.25">
      <c r="A352" s="1852" t="s">
        <v>2246</v>
      </c>
      <c r="B352" s="1852" t="s">
        <v>16</v>
      </c>
      <c r="C352" s="1852" t="s">
        <v>2404</v>
      </c>
      <c r="D352" s="1852" t="s">
        <v>2405</v>
      </c>
      <c r="E352" s="1852" t="s">
        <v>2406</v>
      </c>
      <c r="F352" s="1852" t="s">
        <v>2369</v>
      </c>
      <c r="G352" s="1852" t="s">
        <v>22</v>
      </c>
      <c r="H352" s="1852" t="s">
        <v>2407</v>
      </c>
      <c r="I352" s="1852" t="s">
        <v>854</v>
      </c>
    </row>
    <row customHeight="1" ht="11.25">
      <c r="A353" s="1852" t="s">
        <v>2246</v>
      </c>
      <c r="B353" s="1852" t="s">
        <v>16</v>
      </c>
      <c r="C353" s="1852" t="s">
        <v>2426</v>
      </c>
      <c r="D353" s="1852" t="s">
        <v>2427</v>
      </c>
      <c r="E353" s="1852" t="s">
        <v>2417</v>
      </c>
      <c r="F353" s="1852" t="s">
        <v>2428</v>
      </c>
      <c r="G353" s="1852" t="s">
        <v>22</v>
      </c>
      <c r="H353" s="1852" t="s">
        <v>22</v>
      </c>
      <c r="I353" s="1852" t="s">
        <v>854</v>
      </c>
    </row>
    <row customHeight="1" ht="11.25">
      <c r="A354" s="1852" t="s">
        <v>2246</v>
      </c>
      <c r="B354" s="1852" t="s">
        <v>16</v>
      </c>
      <c r="C354" s="1852" t="s">
        <v>22</v>
      </c>
      <c r="D354" s="1852" t="s">
        <v>2440</v>
      </c>
      <c r="E354" s="1852" t="s">
        <v>2441</v>
      </c>
      <c r="F354" s="1852" t="s">
        <v>2274</v>
      </c>
      <c r="G354" s="1852" t="s">
        <v>22</v>
      </c>
      <c r="H354" s="1852" t="s">
        <v>22</v>
      </c>
      <c r="I354" s="1852" t="s">
        <v>854</v>
      </c>
    </row>
    <row customHeight="1" ht="11.25">
      <c r="A355" s="1852" t="s">
        <v>2246</v>
      </c>
      <c r="B355" s="1852" t="s">
        <v>16</v>
      </c>
      <c r="C355" s="1852" t="s">
        <v>3182</v>
      </c>
      <c r="D355" s="1852" t="s">
        <v>3183</v>
      </c>
      <c r="E355" s="1852" t="s">
        <v>3184</v>
      </c>
      <c r="F355" s="1852" t="s">
        <v>2592</v>
      </c>
      <c r="G355" s="1852" t="s">
        <v>22</v>
      </c>
      <c r="H355" s="1852" t="s">
        <v>22</v>
      </c>
      <c r="I355" s="1852" t="s">
        <v>854</v>
      </c>
    </row>
    <row customHeight="1" ht="11.25">
      <c r="A356" s="1852" t="s">
        <v>2246</v>
      </c>
      <c r="B356" s="1852" t="s">
        <v>16</v>
      </c>
      <c r="C356" s="1852" t="s">
        <v>3185</v>
      </c>
      <c r="D356" s="1852" t="s">
        <v>3186</v>
      </c>
      <c r="E356" s="1852" t="s">
        <v>3187</v>
      </c>
      <c r="F356" s="1852" t="s">
        <v>2373</v>
      </c>
      <c r="G356" s="1852" t="s">
        <v>22</v>
      </c>
      <c r="H356" s="1852" t="s">
        <v>22</v>
      </c>
      <c r="I356" s="1852" t="s">
        <v>854</v>
      </c>
    </row>
    <row customHeight="1" ht="11.25">
      <c r="A357" s="1852" t="s">
        <v>2246</v>
      </c>
      <c r="B357" s="1852" t="s">
        <v>16</v>
      </c>
      <c r="C357" s="1852" t="s">
        <v>3188</v>
      </c>
      <c r="D357" s="1852" t="s">
        <v>3189</v>
      </c>
      <c r="E357" s="1852" t="s">
        <v>3190</v>
      </c>
      <c r="F357" s="1852" t="s">
        <v>2609</v>
      </c>
      <c r="G357" s="1852" t="s">
        <v>22</v>
      </c>
      <c r="H357" s="1852" t="s">
        <v>22</v>
      </c>
      <c r="I357" s="1852" t="s">
        <v>854</v>
      </c>
    </row>
    <row customHeight="1" ht="11.25">
      <c r="A358" s="1852" t="s">
        <v>2246</v>
      </c>
      <c r="B358" s="1852" t="s">
        <v>16</v>
      </c>
      <c r="C358" s="1852" t="s">
        <v>3191</v>
      </c>
      <c r="D358" s="1852" t="s">
        <v>3192</v>
      </c>
      <c r="E358" s="1852" t="s">
        <v>3193</v>
      </c>
      <c r="F358" s="1852" t="s">
        <v>2623</v>
      </c>
      <c r="G358" s="1852" t="s">
        <v>22</v>
      </c>
      <c r="H358" s="1852" t="s">
        <v>22</v>
      </c>
      <c r="I358" s="1852" t="s">
        <v>854</v>
      </c>
    </row>
    <row customHeight="1" ht="11.25">
      <c r="A359" s="1852" t="s">
        <v>2246</v>
      </c>
      <c r="B359" s="1852" t="s">
        <v>16</v>
      </c>
      <c r="C359" s="1852" t="s">
        <v>3194</v>
      </c>
      <c r="D359" s="1852" t="s">
        <v>3195</v>
      </c>
      <c r="E359" s="1852" t="s">
        <v>3196</v>
      </c>
      <c r="F359" s="1852" t="s">
        <v>2534</v>
      </c>
      <c r="G359" s="1852" t="s">
        <v>22</v>
      </c>
      <c r="H359" s="1852" t="s">
        <v>3197</v>
      </c>
      <c r="I359" s="1852" t="s">
        <v>854</v>
      </c>
    </row>
    <row customHeight="1" ht="11.25">
      <c r="A360" s="1852" t="s">
        <v>2246</v>
      </c>
      <c r="B360" s="1852" t="s">
        <v>16</v>
      </c>
      <c r="C360" s="1852" t="s">
        <v>2448</v>
      </c>
      <c r="D360" s="1852" t="s">
        <v>2449</v>
      </c>
      <c r="E360" s="1852" t="s">
        <v>2450</v>
      </c>
      <c r="F360" s="1852" t="s">
        <v>575</v>
      </c>
      <c r="G360" s="1852" t="s">
        <v>2451</v>
      </c>
      <c r="H360" s="1852" t="s">
        <v>22</v>
      </c>
      <c r="I360" s="1852" t="s">
        <v>854</v>
      </c>
    </row>
    <row customHeight="1" ht="11.25">
      <c r="A361" s="1852" t="s">
        <v>2246</v>
      </c>
      <c r="B361" s="1852" t="s">
        <v>16</v>
      </c>
      <c r="C361" s="1852" t="s">
        <v>2455</v>
      </c>
      <c r="D361" s="1852" t="s">
        <v>2456</v>
      </c>
      <c r="E361" s="1852" t="s">
        <v>2457</v>
      </c>
      <c r="F361" s="1852" t="s">
        <v>575</v>
      </c>
      <c r="G361" s="1852" t="s">
        <v>2458</v>
      </c>
      <c r="H361" s="1852" t="s">
        <v>22</v>
      </c>
      <c r="I361" s="1852" t="s">
        <v>854</v>
      </c>
    </row>
    <row customHeight="1" ht="11.25">
      <c r="A362" s="1852" t="s">
        <v>2246</v>
      </c>
      <c r="B362" s="1852" t="s">
        <v>16</v>
      </c>
      <c r="C362" s="1852" t="s">
        <v>3198</v>
      </c>
      <c r="D362" s="1852" t="s">
        <v>3199</v>
      </c>
      <c r="E362" s="1852" t="s">
        <v>3200</v>
      </c>
      <c r="F362" s="1852" t="s">
        <v>575</v>
      </c>
      <c r="G362" s="1852" t="s">
        <v>22</v>
      </c>
      <c r="H362" s="1852" t="s">
        <v>22</v>
      </c>
      <c r="I362" s="1852" t="s">
        <v>854</v>
      </c>
    </row>
    <row customHeight="1" ht="11.25">
      <c r="A363" s="1852" t="s">
        <v>2246</v>
      </c>
      <c r="B363" s="1852" t="s">
        <v>16</v>
      </c>
      <c r="C363" s="1852" t="s">
        <v>3201</v>
      </c>
      <c r="D363" s="1852" t="s">
        <v>3202</v>
      </c>
      <c r="E363" s="1852" t="s">
        <v>3203</v>
      </c>
      <c r="F363" s="1852" t="s">
        <v>2834</v>
      </c>
      <c r="G363" s="1852" t="s">
        <v>22</v>
      </c>
      <c r="H363" s="1852" t="s">
        <v>22</v>
      </c>
      <c r="I363" s="1852" t="s">
        <v>854</v>
      </c>
    </row>
    <row customHeight="1" ht="11.25">
      <c r="A364" s="1852" t="s">
        <v>2246</v>
      </c>
      <c r="B364" s="1852" t="s">
        <v>16</v>
      </c>
      <c r="C364" s="1852" t="s">
        <v>3204</v>
      </c>
      <c r="D364" s="1852" t="s">
        <v>3205</v>
      </c>
      <c r="E364" s="1852" t="s">
        <v>3206</v>
      </c>
      <c r="F364" s="1852" t="s">
        <v>2613</v>
      </c>
      <c r="G364" s="1852" t="s">
        <v>22</v>
      </c>
      <c r="H364" s="1852" t="s">
        <v>22</v>
      </c>
      <c r="I364" s="1852" t="s">
        <v>854</v>
      </c>
    </row>
    <row customHeight="1" ht="11.25">
      <c r="A365" s="1852" t="s">
        <v>2246</v>
      </c>
      <c r="B365" s="1852" t="s">
        <v>16</v>
      </c>
      <c r="C365" s="1852" t="s">
        <v>3207</v>
      </c>
      <c r="D365" s="1852" t="s">
        <v>3208</v>
      </c>
      <c r="E365" s="1852" t="s">
        <v>3209</v>
      </c>
      <c r="F365" s="1852" t="s">
        <v>2341</v>
      </c>
      <c r="G365" s="1852" t="s">
        <v>3210</v>
      </c>
      <c r="H365" s="1852" t="s">
        <v>22</v>
      </c>
      <c r="I365" s="1852" t="s">
        <v>854</v>
      </c>
    </row>
    <row customHeight="1" ht="11.25">
      <c r="A366" s="1852" t="s">
        <v>2246</v>
      </c>
      <c r="B366" s="1852" t="s">
        <v>16</v>
      </c>
      <c r="C366" s="1852" t="s">
        <v>2485</v>
      </c>
      <c r="D366" s="1852" t="s">
        <v>2486</v>
      </c>
      <c r="E366" s="1852" t="s">
        <v>2487</v>
      </c>
      <c r="F366" s="1852" t="s">
        <v>2369</v>
      </c>
      <c r="G366" s="1852" t="s">
        <v>22</v>
      </c>
      <c r="H366" s="1852" t="s">
        <v>2407</v>
      </c>
      <c r="I366" s="1852" t="s">
        <v>854</v>
      </c>
    </row>
    <row customHeight="1" ht="11.25">
      <c r="A367" s="1852" t="s">
        <v>2246</v>
      </c>
      <c r="B367" s="1852" t="s">
        <v>16</v>
      </c>
      <c r="C367" s="1852" t="s">
        <v>2488</v>
      </c>
      <c r="D367" s="1852" t="s">
        <v>2489</v>
      </c>
      <c r="E367" s="1852" t="s">
        <v>2490</v>
      </c>
      <c r="F367" s="1852" t="s">
        <v>2369</v>
      </c>
      <c r="G367" s="1852" t="s">
        <v>22</v>
      </c>
      <c r="H367" s="1852" t="s">
        <v>2407</v>
      </c>
      <c r="I367" s="1852" t="s">
        <v>854</v>
      </c>
    </row>
    <row customHeight="1" ht="11.25">
      <c r="A368" s="1852" t="s">
        <v>2246</v>
      </c>
      <c r="B368" s="1852" t="s">
        <v>16</v>
      </c>
      <c r="C368" s="1852" t="s">
        <v>3211</v>
      </c>
      <c r="D368" s="1852" t="s">
        <v>3212</v>
      </c>
      <c r="E368" s="1852" t="s">
        <v>3213</v>
      </c>
      <c r="F368" s="1852" t="s">
        <v>2365</v>
      </c>
      <c r="G368" s="1852" t="s">
        <v>22</v>
      </c>
      <c r="H368" s="1852" t="s">
        <v>22</v>
      </c>
      <c r="I368" s="1852" t="s">
        <v>854</v>
      </c>
    </row>
    <row customHeight="1" ht="11.25">
      <c r="A369" s="1852" t="s">
        <v>2246</v>
      </c>
      <c r="B369" s="1852" t="s">
        <v>16</v>
      </c>
      <c r="C369" s="1852" t="s">
        <v>2491</v>
      </c>
      <c r="D369" s="1852" t="s">
        <v>2492</v>
      </c>
      <c r="E369" s="1852" t="s">
        <v>2493</v>
      </c>
      <c r="F369" s="1852" t="s">
        <v>2494</v>
      </c>
      <c r="G369" s="1852" t="s">
        <v>22</v>
      </c>
      <c r="H369" s="1852" t="s">
        <v>22</v>
      </c>
      <c r="I369" s="1852" t="s">
        <v>854</v>
      </c>
    </row>
    <row customHeight="1" ht="11.25">
      <c r="A370" s="1852" t="s">
        <v>2246</v>
      </c>
      <c r="B370" s="1852" t="s">
        <v>16</v>
      </c>
      <c r="C370" s="1852" t="s">
        <v>2495</v>
      </c>
      <c r="D370" s="1852" t="s">
        <v>2496</v>
      </c>
      <c r="E370" s="1852" t="s">
        <v>2497</v>
      </c>
      <c r="F370" s="1852" t="s">
        <v>2369</v>
      </c>
      <c r="G370" s="1852" t="s">
        <v>2498</v>
      </c>
      <c r="H370" s="1852" t="s">
        <v>22</v>
      </c>
      <c r="I370" s="1852" t="s">
        <v>854</v>
      </c>
    </row>
    <row customHeight="1" ht="11.25">
      <c r="A371" s="1852" t="s">
        <v>2246</v>
      </c>
      <c r="B371" s="1852" t="s">
        <v>16</v>
      </c>
      <c r="C371" s="1852" t="s">
        <v>3214</v>
      </c>
      <c r="D371" s="1852" t="s">
        <v>3215</v>
      </c>
      <c r="E371" s="1852" t="s">
        <v>3216</v>
      </c>
      <c r="F371" s="1852" t="s">
        <v>2759</v>
      </c>
      <c r="G371" s="1852" t="s">
        <v>22</v>
      </c>
      <c r="H371" s="1852" t="s">
        <v>22</v>
      </c>
      <c r="I371" s="1852" t="s">
        <v>854</v>
      </c>
    </row>
    <row customHeight="1" ht="11.25">
      <c r="A372" s="1852" t="s">
        <v>2246</v>
      </c>
      <c r="B372" s="1852" t="s">
        <v>16</v>
      </c>
      <c r="C372" s="1852" t="s">
        <v>3217</v>
      </c>
      <c r="D372" s="1852" t="s">
        <v>3218</v>
      </c>
      <c r="E372" s="1852" t="s">
        <v>3219</v>
      </c>
      <c r="F372" s="1852" t="s">
        <v>2477</v>
      </c>
      <c r="G372" s="1852" t="s">
        <v>22</v>
      </c>
      <c r="H372" s="1852" t="s">
        <v>22</v>
      </c>
      <c r="I372" s="1852" t="s">
        <v>854</v>
      </c>
    </row>
    <row customHeight="1" ht="11.25">
      <c r="A373" s="1852" t="s">
        <v>2246</v>
      </c>
      <c r="B373" s="1852" t="s">
        <v>16</v>
      </c>
      <c r="C373" s="1852" t="s">
        <v>3220</v>
      </c>
      <c r="D373" s="1852" t="s">
        <v>3221</v>
      </c>
      <c r="E373" s="1852" t="s">
        <v>3222</v>
      </c>
      <c r="F373" s="1852" t="s">
        <v>2392</v>
      </c>
      <c r="G373" s="1852" t="s">
        <v>22</v>
      </c>
      <c r="H373" s="1852" t="s">
        <v>22</v>
      </c>
      <c r="I373" s="1852" t="s">
        <v>854</v>
      </c>
    </row>
    <row customHeight="1" ht="11.25">
      <c r="A374" s="1852" t="s">
        <v>2246</v>
      </c>
      <c r="B374" s="1852" t="s">
        <v>16</v>
      </c>
      <c r="C374" s="1852" t="s">
        <v>2505</v>
      </c>
      <c r="D374" s="1852" t="s">
        <v>2506</v>
      </c>
      <c r="E374" s="1852" t="s">
        <v>2507</v>
      </c>
      <c r="F374" s="1852" t="s">
        <v>2341</v>
      </c>
      <c r="G374" s="1852" t="s">
        <v>22</v>
      </c>
      <c r="H374" s="1852" t="s">
        <v>22</v>
      </c>
      <c r="I374" s="1852" t="s">
        <v>854</v>
      </c>
    </row>
    <row customHeight="1" ht="11.25">
      <c r="A375" s="1852" t="s">
        <v>2246</v>
      </c>
      <c r="B375" s="1852" t="s">
        <v>16</v>
      </c>
      <c r="C375" s="1852" t="s">
        <v>2508</v>
      </c>
      <c r="D375" s="1852" t="s">
        <v>2509</v>
      </c>
      <c r="E375" s="1852" t="s">
        <v>2510</v>
      </c>
      <c r="F375" s="1852" t="s">
        <v>2250</v>
      </c>
      <c r="G375" s="1852" t="s">
        <v>2511</v>
      </c>
      <c r="H375" s="1852" t="s">
        <v>22</v>
      </c>
      <c r="I375" s="1852" t="s">
        <v>854</v>
      </c>
    </row>
    <row customHeight="1" ht="11.25">
      <c r="A376" s="1852" t="s">
        <v>2246</v>
      </c>
      <c r="B376" s="1852" t="s">
        <v>16</v>
      </c>
      <c r="C376" s="1852" t="s">
        <v>2512</v>
      </c>
      <c r="D376" s="1852" t="s">
        <v>2513</v>
      </c>
      <c r="E376" s="1852" t="s">
        <v>2514</v>
      </c>
      <c r="F376" s="1852" t="s">
        <v>2515</v>
      </c>
      <c r="G376" s="1852" t="s">
        <v>2516</v>
      </c>
      <c r="H376" s="1852" t="s">
        <v>22</v>
      </c>
      <c r="I376" s="1852" t="s">
        <v>854</v>
      </c>
    </row>
    <row customHeight="1" ht="11.25">
      <c r="A377" s="1852" t="s">
        <v>2246</v>
      </c>
      <c r="B377" s="1852" t="s">
        <v>16</v>
      </c>
      <c r="C377" s="1852" t="s">
        <v>2517</v>
      </c>
      <c r="D377" s="1852" t="s">
        <v>2518</v>
      </c>
      <c r="E377" s="1852" t="s">
        <v>2519</v>
      </c>
      <c r="F377" s="1852" t="s">
        <v>2341</v>
      </c>
      <c r="G377" s="1852" t="s">
        <v>2520</v>
      </c>
      <c r="H377" s="1852" t="s">
        <v>22</v>
      </c>
      <c r="I377" s="1852" t="s">
        <v>854</v>
      </c>
    </row>
    <row customHeight="1" ht="11.25">
      <c r="A378" s="1852" t="s">
        <v>2246</v>
      </c>
      <c r="B378" s="1852" t="s">
        <v>16</v>
      </c>
      <c r="C378" s="1852" t="s">
        <v>2525</v>
      </c>
      <c r="D378" s="1852" t="s">
        <v>2526</v>
      </c>
      <c r="E378" s="1852" t="s">
        <v>2527</v>
      </c>
      <c r="F378" s="1852" t="s">
        <v>2250</v>
      </c>
      <c r="G378" s="1852" t="s">
        <v>22</v>
      </c>
      <c r="H378" s="1852" t="s">
        <v>22</v>
      </c>
      <c r="I378" s="1852" t="s">
        <v>854</v>
      </c>
    </row>
    <row customHeight="1" ht="11.25">
      <c r="A379" s="1852" t="s">
        <v>2246</v>
      </c>
      <c r="B379" s="1852" t="s">
        <v>16</v>
      </c>
      <c r="C379" s="1852" t="s">
        <v>3223</v>
      </c>
      <c r="D379" s="1852" t="s">
        <v>3224</v>
      </c>
      <c r="E379" s="1852" t="s">
        <v>3225</v>
      </c>
      <c r="F379" s="1852" t="s">
        <v>2341</v>
      </c>
      <c r="G379" s="1852" t="s">
        <v>22</v>
      </c>
      <c r="H379" s="1852" t="s">
        <v>22</v>
      </c>
      <c r="I379" s="1852" t="s">
        <v>854</v>
      </c>
    </row>
    <row customHeight="1" ht="11.25">
      <c r="A380" s="1852" t="s">
        <v>2246</v>
      </c>
      <c r="B380" s="1852" t="s">
        <v>16</v>
      </c>
      <c r="C380" s="1852" t="s">
        <v>2531</v>
      </c>
      <c r="D380" s="1852" t="s">
        <v>2532</v>
      </c>
      <c r="E380" s="1852" t="s">
        <v>2533</v>
      </c>
      <c r="F380" s="1852" t="s">
        <v>2534</v>
      </c>
      <c r="G380" s="1852" t="s">
        <v>22</v>
      </c>
      <c r="H380" s="1852" t="s">
        <v>22</v>
      </c>
      <c r="I380" s="1852" t="s">
        <v>854</v>
      </c>
    </row>
    <row customHeight="1" ht="11.25">
      <c r="A381" s="1852" t="s">
        <v>2246</v>
      </c>
      <c r="B381" s="1852" t="s">
        <v>16</v>
      </c>
      <c r="C381" s="1852" t="s">
        <v>2543</v>
      </c>
      <c r="D381" s="1852" t="s">
        <v>2544</v>
      </c>
      <c r="E381" s="1852" t="s">
        <v>2545</v>
      </c>
      <c r="F381" s="1852" t="s">
        <v>2546</v>
      </c>
      <c r="G381" s="1852" t="s">
        <v>22</v>
      </c>
      <c r="H381" s="1852" t="s">
        <v>22</v>
      </c>
      <c r="I381" s="1852" t="s">
        <v>854</v>
      </c>
    </row>
    <row customHeight="1" ht="11.25">
      <c r="A382" s="1852" t="s">
        <v>2246</v>
      </c>
      <c r="B382" s="1852" t="s">
        <v>16</v>
      </c>
      <c r="C382" s="1852" t="s">
        <v>2547</v>
      </c>
      <c r="D382" s="1852" t="s">
        <v>2548</v>
      </c>
      <c r="E382" s="1852" t="s">
        <v>2549</v>
      </c>
      <c r="F382" s="1852" t="s">
        <v>2392</v>
      </c>
      <c r="G382" s="1852" t="s">
        <v>22</v>
      </c>
      <c r="H382" s="1852" t="s">
        <v>2550</v>
      </c>
      <c r="I382" s="1852" t="s">
        <v>854</v>
      </c>
    </row>
    <row customHeight="1" ht="11.25">
      <c r="A383" s="1852" t="s">
        <v>2246</v>
      </c>
      <c r="B383" s="1852" t="s">
        <v>16</v>
      </c>
      <c r="C383" s="1852" t="s">
        <v>3226</v>
      </c>
      <c r="D383" s="1852" t="s">
        <v>3227</v>
      </c>
      <c r="E383" s="1852" t="s">
        <v>3228</v>
      </c>
      <c r="F383" s="1852" t="s">
        <v>2546</v>
      </c>
      <c r="G383" s="1852" t="s">
        <v>3229</v>
      </c>
      <c r="H383" s="1852" t="s">
        <v>3230</v>
      </c>
      <c r="I383" s="1852" t="s">
        <v>854</v>
      </c>
    </row>
    <row customHeight="1" ht="11.25">
      <c r="A384" s="1852" t="s">
        <v>2246</v>
      </c>
      <c r="B384" s="1852" t="s">
        <v>16</v>
      </c>
      <c r="C384" s="1852" t="s">
        <v>3231</v>
      </c>
      <c r="D384" s="1852" t="s">
        <v>3232</v>
      </c>
      <c r="E384" s="1852" t="s">
        <v>3233</v>
      </c>
      <c r="F384" s="1852" t="s">
        <v>2250</v>
      </c>
      <c r="G384" s="1852" t="s">
        <v>22</v>
      </c>
      <c r="H384" s="1852" t="s">
        <v>22</v>
      </c>
      <c r="I384" s="1852" t="s">
        <v>854</v>
      </c>
    </row>
    <row customHeight="1" ht="11.25">
      <c r="A385" s="1852" t="s">
        <v>2246</v>
      </c>
      <c r="B385" s="1852" t="s">
        <v>16</v>
      </c>
      <c r="C385" s="1852" t="s">
        <v>3234</v>
      </c>
      <c r="D385" s="1852" t="s">
        <v>3235</v>
      </c>
      <c r="E385" s="1852" t="s">
        <v>3236</v>
      </c>
      <c r="F385" s="1852" t="s">
        <v>2541</v>
      </c>
      <c r="G385" s="1852" t="s">
        <v>22</v>
      </c>
      <c r="H385" s="1852" t="s">
        <v>22</v>
      </c>
      <c r="I385" s="1852" t="s">
        <v>854</v>
      </c>
    </row>
    <row customHeight="1" ht="11.25">
      <c r="A386" s="1852" t="s">
        <v>2246</v>
      </c>
      <c r="B386" s="1852" t="s">
        <v>16</v>
      </c>
      <c r="C386" s="1852" t="s">
        <v>3237</v>
      </c>
      <c r="D386" s="1852" t="s">
        <v>3235</v>
      </c>
      <c r="E386" s="1852" t="s">
        <v>3238</v>
      </c>
      <c r="F386" s="1852" t="s">
        <v>2534</v>
      </c>
      <c r="G386" s="1852" t="s">
        <v>22</v>
      </c>
      <c r="H386" s="1852" t="s">
        <v>22</v>
      </c>
      <c r="I386" s="1852" t="s">
        <v>854</v>
      </c>
    </row>
    <row customHeight="1" ht="11.25">
      <c r="A387" s="1852" t="s">
        <v>2246</v>
      </c>
      <c r="B387" s="1852" t="s">
        <v>16</v>
      </c>
      <c r="C387" s="1852" t="s">
        <v>3239</v>
      </c>
      <c r="D387" s="1852" t="s">
        <v>3240</v>
      </c>
      <c r="E387" s="1852" t="s">
        <v>3241</v>
      </c>
      <c r="F387" s="1852" t="s">
        <v>2392</v>
      </c>
      <c r="G387" s="1852" t="s">
        <v>22</v>
      </c>
      <c r="H387" s="1852" t="s">
        <v>22</v>
      </c>
      <c r="I387" s="1852" t="s">
        <v>854</v>
      </c>
    </row>
    <row customHeight="1" ht="11.25">
      <c r="A388" s="1852" t="s">
        <v>2246</v>
      </c>
      <c r="B388" s="1852" t="s">
        <v>16</v>
      </c>
      <c r="C388" s="1852" t="s">
        <v>2551</v>
      </c>
      <c r="D388" s="1852" t="s">
        <v>2552</v>
      </c>
      <c r="E388" s="1852" t="s">
        <v>2553</v>
      </c>
      <c r="F388" s="1852" t="s">
        <v>2554</v>
      </c>
      <c r="G388" s="1852" t="s">
        <v>22</v>
      </c>
      <c r="H388" s="1852" t="s">
        <v>22</v>
      </c>
      <c r="I388" s="1852" t="s">
        <v>854</v>
      </c>
    </row>
    <row customHeight="1" ht="11.25">
      <c r="A389" s="1852" t="s">
        <v>2246</v>
      </c>
      <c r="B389" s="1852" t="s">
        <v>16</v>
      </c>
      <c r="C389" s="1852" t="s">
        <v>2555</v>
      </c>
      <c r="D389" s="1852" t="s">
        <v>2556</v>
      </c>
      <c r="E389" s="1852" t="s">
        <v>2557</v>
      </c>
      <c r="F389" s="1852" t="s">
        <v>2554</v>
      </c>
      <c r="G389" s="1852" t="s">
        <v>22</v>
      </c>
      <c r="H389" s="1852" t="s">
        <v>22</v>
      </c>
      <c r="I389" s="1852" t="s">
        <v>854</v>
      </c>
    </row>
    <row customHeight="1" ht="11.25">
      <c r="A390" s="1852" t="s">
        <v>2246</v>
      </c>
      <c r="B390" s="1852" t="s">
        <v>16</v>
      </c>
      <c r="C390" s="1852" t="s">
        <v>2558</v>
      </c>
      <c r="D390" s="1852" t="s">
        <v>2559</v>
      </c>
      <c r="E390" s="1852" t="s">
        <v>2560</v>
      </c>
      <c r="F390" s="1852" t="s">
        <v>2351</v>
      </c>
      <c r="G390" s="1852" t="s">
        <v>22</v>
      </c>
      <c r="H390" s="1852" t="s">
        <v>2561</v>
      </c>
      <c r="I390" s="1852" t="s">
        <v>854</v>
      </c>
    </row>
    <row customHeight="1" ht="11.25">
      <c r="A391" s="1852" t="s">
        <v>2246</v>
      </c>
      <c r="B391" s="1852" t="s">
        <v>16</v>
      </c>
      <c r="C391" s="1852" t="s">
        <v>2562</v>
      </c>
      <c r="D391" s="1852" t="s">
        <v>2563</v>
      </c>
      <c r="E391" s="1852" t="s">
        <v>2564</v>
      </c>
      <c r="F391" s="1852" t="s">
        <v>2534</v>
      </c>
      <c r="G391" s="1852" t="s">
        <v>22</v>
      </c>
      <c r="H391" s="1852" t="s">
        <v>2565</v>
      </c>
      <c r="I391" s="1852" t="s">
        <v>854</v>
      </c>
    </row>
    <row customHeight="1" ht="11.25">
      <c r="A392" s="1852" t="s">
        <v>2246</v>
      </c>
      <c r="B392" s="1852" t="s">
        <v>16</v>
      </c>
      <c r="C392" s="1852" t="s">
        <v>2566</v>
      </c>
      <c r="D392" s="1852" t="s">
        <v>2567</v>
      </c>
      <c r="E392" s="1852" t="s">
        <v>2568</v>
      </c>
      <c r="F392" s="1852" t="s">
        <v>2554</v>
      </c>
      <c r="G392" s="1852" t="s">
        <v>22</v>
      </c>
      <c r="H392" s="1852" t="s">
        <v>22</v>
      </c>
      <c r="I392" s="1852" t="s">
        <v>854</v>
      </c>
    </row>
    <row customHeight="1" ht="11.25">
      <c r="A393" s="1852" t="s">
        <v>2246</v>
      </c>
      <c r="B393" s="1852" t="s">
        <v>16</v>
      </c>
      <c r="C393" s="1852" t="s">
        <v>2569</v>
      </c>
      <c r="D393" s="1852" t="s">
        <v>2570</v>
      </c>
      <c r="E393" s="1852" t="s">
        <v>2571</v>
      </c>
      <c r="F393" s="1852" t="s">
        <v>2546</v>
      </c>
      <c r="G393" s="1852" t="s">
        <v>22</v>
      </c>
      <c r="H393" s="1852" t="s">
        <v>2572</v>
      </c>
      <c r="I393" s="1852" t="s">
        <v>854</v>
      </c>
    </row>
    <row customHeight="1" ht="11.25">
      <c r="A394" s="1852" t="s">
        <v>2246</v>
      </c>
      <c r="B394" s="1852" t="s">
        <v>16</v>
      </c>
      <c r="C394" s="1852" t="s">
        <v>2573</v>
      </c>
      <c r="D394" s="1852" t="s">
        <v>2574</v>
      </c>
      <c r="E394" s="1852" t="s">
        <v>2575</v>
      </c>
      <c r="F394" s="1852" t="s">
        <v>2365</v>
      </c>
      <c r="G394" s="1852" t="s">
        <v>2576</v>
      </c>
      <c r="H394" s="1852" t="s">
        <v>22</v>
      </c>
      <c r="I394" s="1852" t="s">
        <v>854</v>
      </c>
    </row>
    <row customHeight="1" ht="11.25">
      <c r="A395" s="1852" t="s">
        <v>2246</v>
      </c>
      <c r="B395" s="1852" t="s">
        <v>16</v>
      </c>
      <c r="C395" s="1852" t="s">
        <v>3242</v>
      </c>
      <c r="D395" s="1852" t="s">
        <v>3243</v>
      </c>
      <c r="E395" s="1852" t="s">
        <v>3244</v>
      </c>
      <c r="F395" s="1852" t="s">
        <v>2259</v>
      </c>
      <c r="G395" s="1852" t="s">
        <v>3245</v>
      </c>
      <c r="H395" s="1852" t="s">
        <v>22</v>
      </c>
      <c r="I395" s="1852" t="s">
        <v>854</v>
      </c>
    </row>
    <row customHeight="1" ht="11.25">
      <c r="A396" s="1852" t="s">
        <v>2246</v>
      </c>
      <c r="B396" s="1852" t="s">
        <v>16</v>
      </c>
      <c r="C396" s="1852" t="s">
        <v>2577</v>
      </c>
      <c r="D396" s="1852" t="s">
        <v>2578</v>
      </c>
      <c r="E396" s="1852" t="s">
        <v>2579</v>
      </c>
      <c r="F396" s="1852" t="s">
        <v>2333</v>
      </c>
      <c r="G396" s="1852" t="s">
        <v>2580</v>
      </c>
      <c r="H396" s="1852" t="s">
        <v>22</v>
      </c>
      <c r="I396" s="1852" t="s">
        <v>854</v>
      </c>
    </row>
    <row customHeight="1" ht="11.25">
      <c r="A397" s="1852" t="s">
        <v>2246</v>
      </c>
      <c r="B397" s="1852" t="s">
        <v>16</v>
      </c>
      <c r="C397" s="1852" t="s">
        <v>2581</v>
      </c>
      <c r="D397" s="1852" t="s">
        <v>2582</v>
      </c>
      <c r="E397" s="1852" t="s">
        <v>2583</v>
      </c>
      <c r="F397" s="1852" t="s">
        <v>2365</v>
      </c>
      <c r="G397" s="1852" t="s">
        <v>2584</v>
      </c>
      <c r="H397" s="1852" t="s">
        <v>22</v>
      </c>
      <c r="I397" s="1852" t="s">
        <v>854</v>
      </c>
    </row>
    <row customHeight="1" ht="11.25">
      <c r="A398" s="1852" t="s">
        <v>2246</v>
      </c>
      <c r="B398" s="1852" t="s">
        <v>16</v>
      </c>
      <c r="C398" s="1852" t="s">
        <v>2585</v>
      </c>
      <c r="D398" s="1852" t="s">
        <v>2586</v>
      </c>
      <c r="E398" s="1852" t="s">
        <v>2587</v>
      </c>
      <c r="F398" s="1852" t="s">
        <v>2588</v>
      </c>
      <c r="G398" s="1852" t="s">
        <v>22</v>
      </c>
      <c r="H398" s="1852" t="s">
        <v>22</v>
      </c>
      <c r="I398" s="1852" t="s">
        <v>854</v>
      </c>
    </row>
    <row customHeight="1" ht="11.25">
      <c r="A399" s="1852" t="s">
        <v>2246</v>
      </c>
      <c r="B399" s="1852" t="s">
        <v>16</v>
      </c>
      <c r="C399" s="1852" t="s">
        <v>3246</v>
      </c>
      <c r="D399" s="1852" t="s">
        <v>3247</v>
      </c>
      <c r="E399" s="1852" t="s">
        <v>3248</v>
      </c>
      <c r="F399" s="1852" t="s">
        <v>2546</v>
      </c>
      <c r="G399" s="1852" t="s">
        <v>3249</v>
      </c>
      <c r="H399" s="1852" t="s">
        <v>2550</v>
      </c>
      <c r="I399" s="1852" t="s">
        <v>854</v>
      </c>
    </row>
    <row customHeight="1" ht="11.25">
      <c r="A400" s="1852" t="s">
        <v>2246</v>
      </c>
      <c r="B400" s="1852" t="s">
        <v>16</v>
      </c>
      <c r="C400" s="1852" t="s">
        <v>2593</v>
      </c>
      <c r="D400" s="1852" t="s">
        <v>2594</v>
      </c>
      <c r="E400" s="1852" t="s">
        <v>2595</v>
      </c>
      <c r="F400" s="1852" t="s">
        <v>2365</v>
      </c>
      <c r="G400" s="1852" t="s">
        <v>2596</v>
      </c>
      <c r="H400" s="1852" t="s">
        <v>22</v>
      </c>
      <c r="I400" s="1852" t="s">
        <v>854</v>
      </c>
    </row>
    <row customHeight="1" ht="11.25">
      <c r="A401" s="1852" t="s">
        <v>2246</v>
      </c>
      <c r="B401" s="1852" t="s">
        <v>16</v>
      </c>
      <c r="C401" s="1852" t="s">
        <v>3250</v>
      </c>
      <c r="D401" s="1852" t="s">
        <v>3251</v>
      </c>
      <c r="E401" s="1852" t="s">
        <v>3252</v>
      </c>
      <c r="F401" s="1852" t="s">
        <v>2546</v>
      </c>
      <c r="G401" s="1852" t="s">
        <v>22</v>
      </c>
      <c r="H401" s="1852" t="s">
        <v>3253</v>
      </c>
      <c r="I401" s="1852" t="s">
        <v>854</v>
      </c>
    </row>
    <row customHeight="1" ht="11.25">
      <c r="A402" s="1852" t="s">
        <v>2246</v>
      </c>
      <c r="B402" s="1852" t="s">
        <v>16</v>
      </c>
      <c r="C402" s="1852" t="s">
        <v>2615</v>
      </c>
      <c r="D402" s="1852" t="s">
        <v>2616</v>
      </c>
      <c r="E402" s="1852" t="s">
        <v>2617</v>
      </c>
      <c r="F402" s="1852" t="s">
        <v>2618</v>
      </c>
      <c r="G402" s="1852" t="s">
        <v>2619</v>
      </c>
      <c r="H402" s="1852" t="s">
        <v>22</v>
      </c>
      <c r="I402" s="1852" t="s">
        <v>854</v>
      </c>
    </row>
    <row customHeight="1" ht="11.25">
      <c r="A403" s="1852" t="s">
        <v>2246</v>
      </c>
      <c r="B403" s="1852" t="s">
        <v>16</v>
      </c>
      <c r="C403" s="1852" t="s">
        <v>2620</v>
      </c>
      <c r="D403" s="1852" t="s">
        <v>2621</v>
      </c>
      <c r="E403" s="1852" t="s">
        <v>2622</v>
      </c>
      <c r="F403" s="1852" t="s">
        <v>2623</v>
      </c>
      <c r="G403" s="1852" t="s">
        <v>22</v>
      </c>
      <c r="H403" s="1852" t="s">
        <v>22</v>
      </c>
      <c r="I403" s="1852" t="s">
        <v>854</v>
      </c>
    </row>
    <row customHeight="1" ht="11.25">
      <c r="A404" s="1852" t="s">
        <v>2246</v>
      </c>
      <c r="B404" s="1852" t="s">
        <v>16</v>
      </c>
      <c r="C404" s="1852" t="s">
        <v>3254</v>
      </c>
      <c r="D404" s="1852" t="s">
        <v>3255</v>
      </c>
      <c r="E404" s="1852" t="s">
        <v>3256</v>
      </c>
      <c r="F404" s="1852" t="s">
        <v>2554</v>
      </c>
      <c r="G404" s="1852" t="s">
        <v>22</v>
      </c>
      <c r="H404" s="1852" t="s">
        <v>22</v>
      </c>
      <c r="I404" s="1852" t="s">
        <v>854</v>
      </c>
    </row>
    <row customHeight="1" ht="11.25">
      <c r="A405" s="1852" t="s">
        <v>2246</v>
      </c>
      <c r="B405" s="1852" t="s">
        <v>16</v>
      </c>
      <c r="C405" s="1852" t="s">
        <v>2624</v>
      </c>
      <c r="D405" s="1852" t="s">
        <v>2625</v>
      </c>
      <c r="E405" s="1852" t="s">
        <v>2626</v>
      </c>
      <c r="F405" s="1852" t="s">
        <v>2618</v>
      </c>
      <c r="G405" s="1852" t="s">
        <v>2627</v>
      </c>
      <c r="H405" s="1852" t="s">
        <v>2628</v>
      </c>
      <c r="I405" s="1852" t="s">
        <v>854</v>
      </c>
    </row>
    <row customHeight="1" ht="11.25">
      <c r="A406" s="1852" t="s">
        <v>2246</v>
      </c>
      <c r="B406" s="1852" t="s">
        <v>16</v>
      </c>
      <c r="C406" s="1852" t="s">
        <v>2629</v>
      </c>
      <c r="D406" s="1852" t="s">
        <v>2630</v>
      </c>
      <c r="E406" s="1852" t="s">
        <v>2631</v>
      </c>
      <c r="F406" s="1852" t="s">
        <v>2623</v>
      </c>
      <c r="G406" s="1852" t="s">
        <v>2632</v>
      </c>
      <c r="H406" s="1852" t="s">
        <v>22</v>
      </c>
      <c r="I406" s="1852" t="s">
        <v>854</v>
      </c>
    </row>
    <row customHeight="1" ht="11.25">
      <c r="A407" s="1852" t="s">
        <v>2246</v>
      </c>
      <c r="B407" s="1852" t="s">
        <v>16</v>
      </c>
      <c r="C407" s="1852" t="s">
        <v>2633</v>
      </c>
      <c r="D407" s="1852" t="s">
        <v>2634</v>
      </c>
      <c r="E407" s="1852" t="s">
        <v>2635</v>
      </c>
      <c r="F407" s="1852" t="s">
        <v>2373</v>
      </c>
      <c r="G407" s="1852" t="s">
        <v>22</v>
      </c>
      <c r="H407" s="1852" t="s">
        <v>22</v>
      </c>
      <c r="I407" s="1852" t="s">
        <v>854</v>
      </c>
    </row>
    <row customHeight="1" ht="11.25">
      <c r="A408" s="1852" t="s">
        <v>2246</v>
      </c>
      <c r="B408" s="1852" t="s">
        <v>16</v>
      </c>
      <c r="C408" s="1852" t="s">
        <v>2639</v>
      </c>
      <c r="D408" s="1852" t="s">
        <v>2640</v>
      </c>
      <c r="E408" s="1852" t="s">
        <v>2641</v>
      </c>
      <c r="F408" s="1852" t="s">
        <v>2554</v>
      </c>
      <c r="G408" s="1852" t="s">
        <v>2642</v>
      </c>
      <c r="H408" s="1852" t="s">
        <v>2643</v>
      </c>
      <c r="I408" s="1852" t="s">
        <v>854</v>
      </c>
    </row>
    <row customHeight="1" ht="11.25">
      <c r="A409" s="1852" t="s">
        <v>2246</v>
      </c>
      <c r="B409" s="1852" t="s">
        <v>16</v>
      </c>
      <c r="C409" s="1852" t="s">
        <v>2644</v>
      </c>
      <c r="D409" s="1852" t="s">
        <v>2645</v>
      </c>
      <c r="E409" s="1852" t="s">
        <v>2646</v>
      </c>
      <c r="F409" s="1852" t="s">
        <v>2554</v>
      </c>
      <c r="G409" s="1852" t="s">
        <v>2647</v>
      </c>
      <c r="H409" s="1852" t="s">
        <v>22</v>
      </c>
      <c r="I409" s="1852" t="s">
        <v>854</v>
      </c>
    </row>
    <row customHeight="1" ht="11.25">
      <c r="A410" s="1852" t="s">
        <v>2246</v>
      </c>
      <c r="B410" s="1852" t="s">
        <v>16</v>
      </c>
      <c r="C410" s="1852" t="s">
        <v>3257</v>
      </c>
      <c r="D410" s="1852" t="s">
        <v>3258</v>
      </c>
      <c r="E410" s="1852" t="s">
        <v>3259</v>
      </c>
      <c r="F410" s="1852" t="s">
        <v>2613</v>
      </c>
      <c r="G410" s="1852" t="s">
        <v>3260</v>
      </c>
      <c r="H410" s="1852" t="s">
        <v>22</v>
      </c>
      <c r="I410" s="1852" t="s">
        <v>854</v>
      </c>
    </row>
    <row customHeight="1" ht="11.25">
      <c r="A411" s="1852" t="s">
        <v>2246</v>
      </c>
      <c r="B411" s="1852" t="s">
        <v>16</v>
      </c>
      <c r="C411" s="1852" t="s">
        <v>2648</v>
      </c>
      <c r="D411" s="1852" t="s">
        <v>2649</v>
      </c>
      <c r="E411" s="1852" t="s">
        <v>2650</v>
      </c>
      <c r="F411" s="1852" t="s">
        <v>2618</v>
      </c>
      <c r="G411" s="1852" t="s">
        <v>2651</v>
      </c>
      <c r="H411" s="1852" t="s">
        <v>22</v>
      </c>
      <c r="I411" s="1852" t="s">
        <v>854</v>
      </c>
    </row>
    <row customHeight="1" ht="11.25">
      <c r="A412" s="1852" t="s">
        <v>2246</v>
      </c>
      <c r="B412" s="1852" t="s">
        <v>16</v>
      </c>
      <c r="C412" s="1852" t="s">
        <v>3261</v>
      </c>
      <c r="D412" s="1852" t="s">
        <v>3262</v>
      </c>
      <c r="E412" s="1852" t="s">
        <v>3263</v>
      </c>
      <c r="F412" s="1852" t="s">
        <v>2274</v>
      </c>
      <c r="G412" s="1852" t="s">
        <v>22</v>
      </c>
      <c r="H412" s="1852" t="s">
        <v>22</v>
      </c>
      <c r="I412" s="1852" t="s">
        <v>854</v>
      </c>
    </row>
    <row customHeight="1" ht="11.25">
      <c r="A413" s="1852" t="s">
        <v>2246</v>
      </c>
      <c r="B413" s="1852" t="s">
        <v>16</v>
      </c>
      <c r="C413" s="1852" t="s">
        <v>2656</v>
      </c>
      <c r="D413" s="1852" t="s">
        <v>2657</v>
      </c>
      <c r="E413" s="1852" t="s">
        <v>2658</v>
      </c>
      <c r="F413" s="1852" t="s">
        <v>2318</v>
      </c>
      <c r="G413" s="1852" t="s">
        <v>22</v>
      </c>
      <c r="H413" s="1852" t="s">
        <v>22</v>
      </c>
      <c r="I413" s="1852" t="s">
        <v>854</v>
      </c>
    </row>
    <row customHeight="1" ht="11.25">
      <c r="A414" s="1852" t="s">
        <v>2246</v>
      </c>
      <c r="B414" s="1852" t="s">
        <v>16</v>
      </c>
      <c r="C414" s="1852" t="s">
        <v>2659</v>
      </c>
      <c r="D414" s="1852" t="s">
        <v>2660</v>
      </c>
      <c r="E414" s="1852" t="s">
        <v>2661</v>
      </c>
      <c r="F414" s="1852" t="s">
        <v>2333</v>
      </c>
      <c r="G414" s="1852" t="s">
        <v>22</v>
      </c>
      <c r="H414" s="1852" t="s">
        <v>22</v>
      </c>
      <c r="I414" s="1852" t="s">
        <v>854</v>
      </c>
    </row>
    <row customHeight="1" ht="11.25">
      <c r="A415" s="1852" t="s">
        <v>2246</v>
      </c>
      <c r="B415" s="1852" t="s">
        <v>16</v>
      </c>
      <c r="C415" s="1852" t="s">
        <v>2662</v>
      </c>
      <c r="D415" s="1852" t="s">
        <v>2663</v>
      </c>
      <c r="E415" s="1852" t="s">
        <v>2664</v>
      </c>
      <c r="F415" s="1852" t="s">
        <v>2318</v>
      </c>
      <c r="G415" s="1852" t="s">
        <v>2665</v>
      </c>
      <c r="H415" s="1852" t="s">
        <v>22</v>
      </c>
      <c r="I415" s="1852" t="s">
        <v>854</v>
      </c>
    </row>
    <row customHeight="1" ht="11.25">
      <c r="A416" s="1852" t="s">
        <v>2246</v>
      </c>
      <c r="B416" s="1852" t="s">
        <v>16</v>
      </c>
      <c r="C416" s="1852" t="s">
        <v>2666</v>
      </c>
      <c r="D416" s="1852" t="s">
        <v>2667</v>
      </c>
      <c r="E416" s="1852" t="s">
        <v>2668</v>
      </c>
      <c r="F416" s="1852" t="s">
        <v>2669</v>
      </c>
      <c r="G416" s="1852" t="s">
        <v>2670</v>
      </c>
      <c r="H416" s="1852" t="s">
        <v>22</v>
      </c>
      <c r="I416" s="1852" t="s">
        <v>854</v>
      </c>
    </row>
    <row customHeight="1" ht="11.25">
      <c r="A417" s="1852" t="s">
        <v>2246</v>
      </c>
      <c r="B417" s="1852" t="s">
        <v>16</v>
      </c>
      <c r="C417" s="1852" t="s">
        <v>2671</v>
      </c>
      <c r="D417" s="1852" t="s">
        <v>2672</v>
      </c>
      <c r="E417" s="1852" t="s">
        <v>2673</v>
      </c>
      <c r="F417" s="1852" t="s">
        <v>2588</v>
      </c>
      <c r="G417" s="1852" t="s">
        <v>22</v>
      </c>
      <c r="H417" s="1852" t="s">
        <v>22</v>
      </c>
      <c r="I417" s="1852" t="s">
        <v>854</v>
      </c>
    </row>
    <row customHeight="1" ht="11.25">
      <c r="A418" s="1852" t="s">
        <v>2246</v>
      </c>
      <c r="B418" s="1852" t="s">
        <v>16</v>
      </c>
      <c r="C418" s="1852" t="s">
        <v>3264</v>
      </c>
      <c r="D418" s="1852" t="s">
        <v>3265</v>
      </c>
      <c r="E418" s="1852" t="s">
        <v>3266</v>
      </c>
      <c r="F418" s="1852" t="s">
        <v>2326</v>
      </c>
      <c r="G418" s="1852" t="s">
        <v>22</v>
      </c>
      <c r="H418" s="1852" t="s">
        <v>22</v>
      </c>
      <c r="I418" s="1852" t="s">
        <v>854</v>
      </c>
    </row>
    <row customHeight="1" ht="11.25">
      <c r="A419" s="1852" t="s">
        <v>2246</v>
      </c>
      <c r="B419" s="1852" t="s">
        <v>16</v>
      </c>
      <c r="C419" s="1852" t="s">
        <v>2674</v>
      </c>
      <c r="D419" s="1852" t="s">
        <v>2675</v>
      </c>
      <c r="E419" s="1852" t="s">
        <v>2676</v>
      </c>
      <c r="F419" s="1852" t="s">
        <v>2318</v>
      </c>
      <c r="G419" s="1852" t="s">
        <v>22</v>
      </c>
      <c r="H419" s="1852" t="s">
        <v>22</v>
      </c>
      <c r="I419" s="1852" t="s">
        <v>854</v>
      </c>
    </row>
    <row customHeight="1" ht="11.25">
      <c r="A420" s="1852" t="s">
        <v>2246</v>
      </c>
      <c r="B420" s="1852" t="s">
        <v>16</v>
      </c>
      <c r="C420" s="1852" t="s">
        <v>2677</v>
      </c>
      <c r="D420" s="1852" t="s">
        <v>2678</v>
      </c>
      <c r="E420" s="1852" t="s">
        <v>2679</v>
      </c>
      <c r="F420" s="1852" t="s">
        <v>2534</v>
      </c>
      <c r="G420" s="1852" t="s">
        <v>22</v>
      </c>
      <c r="H420" s="1852" t="s">
        <v>22</v>
      </c>
      <c r="I420" s="1852" t="s">
        <v>854</v>
      </c>
    </row>
    <row customHeight="1" ht="11.25">
      <c r="A421" s="1852" t="s">
        <v>2246</v>
      </c>
      <c r="B421" s="1852" t="s">
        <v>16</v>
      </c>
      <c r="C421" s="1852" t="s">
        <v>2680</v>
      </c>
      <c r="D421" s="1852" t="s">
        <v>2678</v>
      </c>
      <c r="E421" s="1852" t="s">
        <v>2679</v>
      </c>
      <c r="F421" s="1852" t="s">
        <v>2609</v>
      </c>
      <c r="G421" s="1852" t="s">
        <v>22</v>
      </c>
      <c r="H421" s="1852" t="s">
        <v>22</v>
      </c>
      <c r="I421" s="1852" t="s">
        <v>854</v>
      </c>
    </row>
    <row customHeight="1" ht="11.25">
      <c r="A422" s="1852" t="s">
        <v>2246</v>
      </c>
      <c r="B422" s="1852" t="s">
        <v>16</v>
      </c>
      <c r="C422" s="1852" t="s">
        <v>2685</v>
      </c>
      <c r="D422" s="1852" t="s">
        <v>2686</v>
      </c>
      <c r="E422" s="1852" t="s">
        <v>2417</v>
      </c>
      <c r="F422" s="1852" t="s">
        <v>2687</v>
      </c>
      <c r="G422" s="1852" t="s">
        <v>2688</v>
      </c>
      <c r="H422" s="1852" t="s">
        <v>22</v>
      </c>
      <c r="I422" s="1852" t="s">
        <v>854</v>
      </c>
    </row>
    <row customHeight="1" ht="11.25">
      <c r="A423" s="1852" t="s">
        <v>2246</v>
      </c>
      <c r="B423" s="1852" t="s">
        <v>16</v>
      </c>
      <c r="C423" s="1852" t="s">
        <v>2689</v>
      </c>
      <c r="D423" s="1852" t="s">
        <v>2690</v>
      </c>
      <c r="E423" s="1852" t="s">
        <v>2691</v>
      </c>
      <c r="F423" s="1852" t="s">
        <v>2692</v>
      </c>
      <c r="G423" s="1852" t="s">
        <v>22</v>
      </c>
      <c r="H423" s="1852" t="s">
        <v>22</v>
      </c>
      <c r="I423" s="1852" t="s">
        <v>854</v>
      </c>
    </row>
    <row customHeight="1" ht="11.25">
      <c r="A424" s="1852" t="s">
        <v>2246</v>
      </c>
      <c r="B424" s="1852" t="s">
        <v>16</v>
      </c>
      <c r="C424" s="1852" t="s">
        <v>2713</v>
      </c>
      <c r="D424" s="1852" t="s">
        <v>2714</v>
      </c>
      <c r="E424" s="1852" t="s">
        <v>2715</v>
      </c>
      <c r="F424" s="1852" t="s">
        <v>2618</v>
      </c>
      <c r="G424" s="1852" t="s">
        <v>22</v>
      </c>
      <c r="H424" s="1852" t="s">
        <v>22</v>
      </c>
      <c r="I424" s="1852" t="s">
        <v>854</v>
      </c>
    </row>
    <row customHeight="1" ht="11.25">
      <c r="A425" s="1852" t="s">
        <v>2246</v>
      </c>
      <c r="B425" s="1852" t="s">
        <v>16</v>
      </c>
      <c r="C425" s="1852" t="s">
        <v>3267</v>
      </c>
      <c r="D425" s="1852" t="s">
        <v>3268</v>
      </c>
      <c r="E425" s="1852" t="s">
        <v>3269</v>
      </c>
      <c r="F425" s="1852" t="s">
        <v>2477</v>
      </c>
      <c r="G425" s="1852" t="s">
        <v>22</v>
      </c>
      <c r="H425" s="1852" t="s">
        <v>22</v>
      </c>
      <c r="I425" s="1852" t="s">
        <v>854</v>
      </c>
    </row>
    <row customHeight="1" ht="11.25">
      <c r="A426" s="1852" t="s">
        <v>2246</v>
      </c>
      <c r="B426" s="1852" t="s">
        <v>16</v>
      </c>
      <c r="C426" s="1852" t="s">
        <v>3270</v>
      </c>
      <c r="D426" s="1852" t="s">
        <v>3271</v>
      </c>
      <c r="E426" s="1852" t="s">
        <v>3272</v>
      </c>
      <c r="F426" s="1852" t="s">
        <v>2274</v>
      </c>
      <c r="G426" s="1852" t="s">
        <v>3273</v>
      </c>
      <c r="H426" s="1852" t="s">
        <v>22</v>
      </c>
      <c r="I426" s="1852" t="s">
        <v>854</v>
      </c>
    </row>
    <row customHeight="1" ht="11.25">
      <c r="A427" s="1852" t="s">
        <v>2246</v>
      </c>
      <c r="B427" s="1852" t="s">
        <v>16</v>
      </c>
      <c r="C427" s="1852" t="s">
        <v>3274</v>
      </c>
      <c r="D427" s="1852" t="s">
        <v>3275</v>
      </c>
      <c r="E427" s="1852" t="s">
        <v>3276</v>
      </c>
      <c r="F427" s="1852" t="s">
        <v>2318</v>
      </c>
      <c r="G427" s="1852" t="s">
        <v>22</v>
      </c>
      <c r="H427" s="1852" t="s">
        <v>22</v>
      </c>
      <c r="I427" s="1852" t="s">
        <v>854</v>
      </c>
    </row>
    <row customHeight="1" ht="11.25">
      <c r="A428" s="1852" t="s">
        <v>2246</v>
      </c>
      <c r="B428" s="1852" t="s">
        <v>16</v>
      </c>
      <c r="C428" s="1852" t="s">
        <v>2723</v>
      </c>
      <c r="D428" s="1852" t="s">
        <v>2724</v>
      </c>
      <c r="E428" s="1852" t="s">
        <v>2725</v>
      </c>
      <c r="F428" s="1852" t="s">
        <v>2318</v>
      </c>
      <c r="G428" s="1852" t="s">
        <v>22</v>
      </c>
      <c r="H428" s="1852" t="s">
        <v>22</v>
      </c>
      <c r="I428" s="1852" t="s">
        <v>854</v>
      </c>
    </row>
    <row customHeight="1" ht="11.25">
      <c r="A429" s="1852" t="s">
        <v>2246</v>
      </c>
      <c r="B429" s="1852" t="s">
        <v>16</v>
      </c>
      <c r="C429" s="1852" t="s">
        <v>2729</v>
      </c>
      <c r="D429" s="1852" t="s">
        <v>2730</v>
      </c>
      <c r="E429" s="1852" t="s">
        <v>2731</v>
      </c>
      <c r="F429" s="1852" t="s">
        <v>2250</v>
      </c>
      <c r="G429" s="1852" t="s">
        <v>22</v>
      </c>
      <c r="H429" s="1852" t="s">
        <v>22</v>
      </c>
      <c r="I429" s="1852" t="s">
        <v>854</v>
      </c>
    </row>
    <row customHeight="1" ht="11.25">
      <c r="A430" s="1852" t="s">
        <v>2246</v>
      </c>
      <c r="B430" s="1852" t="s">
        <v>16</v>
      </c>
      <c r="C430" s="1852" t="s">
        <v>2732</v>
      </c>
      <c r="D430" s="1852" t="s">
        <v>2733</v>
      </c>
      <c r="E430" s="1852" t="s">
        <v>2734</v>
      </c>
      <c r="F430" s="1852" t="s">
        <v>2250</v>
      </c>
      <c r="G430" s="1852" t="s">
        <v>22</v>
      </c>
      <c r="H430" s="1852" t="s">
        <v>2735</v>
      </c>
      <c r="I430" s="1852" t="s">
        <v>854</v>
      </c>
    </row>
    <row customHeight="1" ht="11.25">
      <c r="A431" s="1852" t="s">
        <v>2246</v>
      </c>
      <c r="B431" s="1852" t="s">
        <v>16</v>
      </c>
      <c r="C431" s="1852" t="s">
        <v>2736</v>
      </c>
      <c r="D431" s="1852" t="s">
        <v>2737</v>
      </c>
      <c r="E431" s="1852" t="s">
        <v>2738</v>
      </c>
      <c r="F431" s="1852" t="s">
        <v>2618</v>
      </c>
      <c r="G431" s="1852" t="s">
        <v>22</v>
      </c>
      <c r="H431" s="1852" t="s">
        <v>2735</v>
      </c>
      <c r="I431" s="1852" t="s">
        <v>854</v>
      </c>
    </row>
    <row customHeight="1" ht="11.25">
      <c r="A432" s="1852" t="s">
        <v>2246</v>
      </c>
      <c r="B432" s="1852" t="s">
        <v>16</v>
      </c>
      <c r="C432" s="1852" t="s">
        <v>2745</v>
      </c>
      <c r="D432" s="1852" t="s">
        <v>2746</v>
      </c>
      <c r="E432" s="1852" t="s">
        <v>2747</v>
      </c>
      <c r="F432" s="1852" t="s">
        <v>2369</v>
      </c>
      <c r="G432" s="1852" t="s">
        <v>2748</v>
      </c>
      <c r="H432" s="1852" t="s">
        <v>22</v>
      </c>
      <c r="I432" s="1852" t="s">
        <v>854</v>
      </c>
    </row>
    <row customHeight="1" ht="11.25">
      <c r="A433" s="1852" t="s">
        <v>2246</v>
      </c>
      <c r="B433" s="1852" t="s">
        <v>16</v>
      </c>
      <c r="C433" s="1852" t="s">
        <v>3277</v>
      </c>
      <c r="D433" s="1852" t="s">
        <v>3278</v>
      </c>
      <c r="E433" s="1852" t="s">
        <v>3279</v>
      </c>
      <c r="F433" s="1852" t="s">
        <v>2494</v>
      </c>
      <c r="G433" s="1852" t="s">
        <v>22</v>
      </c>
      <c r="H433" s="1852" t="s">
        <v>22</v>
      </c>
      <c r="I433" s="1852" t="s">
        <v>854</v>
      </c>
    </row>
    <row customHeight="1" ht="11.25">
      <c r="A434" s="1852" t="s">
        <v>2246</v>
      </c>
      <c r="B434" s="1852" t="s">
        <v>16</v>
      </c>
      <c r="C434" s="1852" t="s">
        <v>3280</v>
      </c>
      <c r="D434" s="1852" t="s">
        <v>3281</v>
      </c>
      <c r="E434" s="1852" t="s">
        <v>3282</v>
      </c>
      <c r="F434" s="1852" t="s">
        <v>2392</v>
      </c>
      <c r="G434" s="1852" t="s">
        <v>22</v>
      </c>
      <c r="H434" s="1852" t="s">
        <v>22</v>
      </c>
      <c r="I434" s="1852" t="s">
        <v>854</v>
      </c>
    </row>
    <row customHeight="1" ht="11.25">
      <c r="A435" s="1852" t="s">
        <v>2246</v>
      </c>
      <c r="B435" s="1852" t="s">
        <v>16</v>
      </c>
      <c r="C435" s="1852" t="s">
        <v>3283</v>
      </c>
      <c r="D435" s="1852" t="s">
        <v>3281</v>
      </c>
      <c r="E435" s="1852" t="s">
        <v>3284</v>
      </c>
      <c r="F435" s="1852" t="s">
        <v>2259</v>
      </c>
      <c r="G435" s="1852" t="s">
        <v>22</v>
      </c>
      <c r="H435" s="1852" t="s">
        <v>22</v>
      </c>
      <c r="I435" s="1852" t="s">
        <v>854</v>
      </c>
    </row>
    <row customHeight="1" ht="11.25">
      <c r="A436" s="1852" t="s">
        <v>2246</v>
      </c>
      <c r="B436" s="1852" t="s">
        <v>16</v>
      </c>
      <c r="C436" s="1852" t="s">
        <v>3285</v>
      </c>
      <c r="D436" s="1852" t="s">
        <v>3281</v>
      </c>
      <c r="E436" s="1852" t="s">
        <v>3286</v>
      </c>
      <c r="F436" s="1852" t="s">
        <v>2333</v>
      </c>
      <c r="G436" s="1852" t="s">
        <v>22</v>
      </c>
      <c r="H436" s="1852" t="s">
        <v>22</v>
      </c>
      <c r="I436" s="1852" t="s">
        <v>854</v>
      </c>
    </row>
    <row customHeight="1" ht="11.25">
      <c r="A437" s="1852" t="s">
        <v>2246</v>
      </c>
      <c r="B437" s="1852" t="s">
        <v>16</v>
      </c>
      <c r="C437" s="1852" t="s">
        <v>3287</v>
      </c>
      <c r="D437" s="1852" t="s">
        <v>3288</v>
      </c>
      <c r="E437" s="1852" t="s">
        <v>3289</v>
      </c>
      <c r="F437" s="1852" t="s">
        <v>2318</v>
      </c>
      <c r="G437" s="1852" t="s">
        <v>22</v>
      </c>
      <c r="H437" s="1852" t="s">
        <v>22</v>
      </c>
      <c r="I437" s="1852" t="s">
        <v>854</v>
      </c>
    </row>
    <row customHeight="1" ht="11.25">
      <c r="A438" s="1852" t="s">
        <v>2246</v>
      </c>
      <c r="B438" s="1852" t="s">
        <v>16</v>
      </c>
      <c r="C438" s="1852" t="s">
        <v>2760</v>
      </c>
      <c r="D438" s="1852" t="s">
        <v>2761</v>
      </c>
      <c r="E438" s="1852" t="s">
        <v>2762</v>
      </c>
      <c r="F438" s="1852" t="s">
        <v>2274</v>
      </c>
      <c r="G438" s="1852" t="s">
        <v>22</v>
      </c>
      <c r="H438" s="1852" t="s">
        <v>22</v>
      </c>
      <c r="I438" s="1852" t="s">
        <v>854</v>
      </c>
    </row>
    <row customHeight="1" ht="11.25">
      <c r="A439" s="1852" t="s">
        <v>2246</v>
      </c>
      <c r="B439" s="1852" t="s">
        <v>16</v>
      </c>
      <c r="C439" s="1852" t="s">
        <v>3290</v>
      </c>
      <c r="D439" s="1852" t="s">
        <v>3291</v>
      </c>
      <c r="E439" s="1852" t="s">
        <v>3292</v>
      </c>
      <c r="F439" s="1852" t="s">
        <v>2515</v>
      </c>
      <c r="G439" s="1852" t="s">
        <v>22</v>
      </c>
      <c r="H439" s="1852" t="s">
        <v>3293</v>
      </c>
      <c r="I439" s="1852" t="s">
        <v>854</v>
      </c>
    </row>
    <row customHeight="1" ht="11.25">
      <c r="A440" s="1852" t="s">
        <v>2246</v>
      </c>
      <c r="B440" s="1852" t="s">
        <v>16</v>
      </c>
      <c r="C440" s="1852" t="s">
        <v>2766</v>
      </c>
      <c r="D440" s="1852" t="s">
        <v>2767</v>
      </c>
      <c r="E440" s="1852" t="s">
        <v>2768</v>
      </c>
      <c r="F440" s="1852" t="s">
        <v>2534</v>
      </c>
      <c r="G440" s="1852" t="s">
        <v>22</v>
      </c>
      <c r="H440" s="1852" t="s">
        <v>22</v>
      </c>
      <c r="I440" s="1852" t="s">
        <v>854</v>
      </c>
    </row>
    <row customHeight="1" ht="11.25">
      <c r="A441" s="1852" t="s">
        <v>2246</v>
      </c>
      <c r="B441" s="1852" t="s">
        <v>16</v>
      </c>
      <c r="C441" s="1852" t="s">
        <v>2779</v>
      </c>
      <c r="D441" s="1852" t="s">
        <v>2780</v>
      </c>
      <c r="E441" s="1852" t="s">
        <v>2781</v>
      </c>
      <c r="F441" s="1852" t="s">
        <v>2782</v>
      </c>
      <c r="G441" s="1852" t="s">
        <v>2783</v>
      </c>
      <c r="H441" s="1852" t="s">
        <v>22</v>
      </c>
      <c r="I441" s="1852" t="s">
        <v>854</v>
      </c>
    </row>
    <row customHeight="1" ht="11.25">
      <c r="A442" s="1852" t="s">
        <v>2246</v>
      </c>
      <c r="B442" s="1852" t="s">
        <v>16</v>
      </c>
      <c r="C442" s="1852" t="s">
        <v>2784</v>
      </c>
      <c r="D442" s="1852" t="s">
        <v>2780</v>
      </c>
      <c r="E442" s="1852" t="s">
        <v>2781</v>
      </c>
      <c r="F442" s="1852" t="s">
        <v>2785</v>
      </c>
      <c r="G442" s="1852" t="s">
        <v>22</v>
      </c>
      <c r="H442" s="1852" t="s">
        <v>22</v>
      </c>
      <c r="I442" s="1852" t="s">
        <v>854</v>
      </c>
    </row>
    <row customHeight="1" ht="11.25">
      <c r="A443" s="1852" t="s">
        <v>2246</v>
      </c>
      <c r="B443" s="1852" t="s">
        <v>16</v>
      </c>
      <c r="C443" s="1852" t="s">
        <v>2793</v>
      </c>
      <c r="D443" s="1852" t="s">
        <v>2794</v>
      </c>
      <c r="E443" s="1852" t="s">
        <v>2781</v>
      </c>
      <c r="F443" s="1852" t="s">
        <v>2795</v>
      </c>
      <c r="G443" s="1852" t="s">
        <v>22</v>
      </c>
      <c r="H443" s="1852" t="s">
        <v>22</v>
      </c>
      <c r="I443" s="1852" t="s">
        <v>854</v>
      </c>
    </row>
    <row customHeight="1" ht="11.25">
      <c r="A444" s="1852" t="s">
        <v>2246</v>
      </c>
      <c r="B444" s="1852" t="s">
        <v>16</v>
      </c>
      <c r="C444" s="1852" t="s">
        <v>2796</v>
      </c>
      <c r="D444" s="1852" t="s">
        <v>2797</v>
      </c>
      <c r="E444" s="1852" t="s">
        <v>2798</v>
      </c>
      <c r="F444" s="1852" t="s">
        <v>2515</v>
      </c>
      <c r="G444" s="1852" t="s">
        <v>22</v>
      </c>
      <c r="H444" s="1852" t="s">
        <v>22</v>
      </c>
      <c r="I444" s="1852" t="s">
        <v>854</v>
      </c>
    </row>
    <row customHeight="1" ht="11.25">
      <c r="A445" s="1852" t="s">
        <v>2246</v>
      </c>
      <c r="B445" s="1852" t="s">
        <v>16</v>
      </c>
      <c r="C445" s="1852" t="s">
        <v>3294</v>
      </c>
      <c r="D445" s="1852" t="s">
        <v>3295</v>
      </c>
      <c r="E445" s="1852" t="s">
        <v>3296</v>
      </c>
      <c r="F445" s="1852" t="s">
        <v>2546</v>
      </c>
      <c r="G445" s="1852" t="s">
        <v>3297</v>
      </c>
      <c r="H445" s="1852" t="s">
        <v>22</v>
      </c>
      <c r="I445" s="1852" t="s">
        <v>854</v>
      </c>
    </row>
    <row customHeight="1" ht="11.25">
      <c r="A446" s="1852" t="s">
        <v>2246</v>
      </c>
      <c r="B446" s="1852" t="s">
        <v>16</v>
      </c>
      <c r="C446" s="1852" t="s">
        <v>2802</v>
      </c>
      <c r="D446" s="1852" t="s">
        <v>2803</v>
      </c>
      <c r="E446" s="1852" t="s">
        <v>2804</v>
      </c>
      <c r="F446" s="1852" t="s">
        <v>2534</v>
      </c>
      <c r="G446" s="1852" t="s">
        <v>22</v>
      </c>
      <c r="H446" s="1852" t="s">
        <v>22</v>
      </c>
      <c r="I446" s="1852" t="s">
        <v>854</v>
      </c>
    </row>
    <row customHeight="1" ht="11.25">
      <c r="A447" s="1852" t="s">
        <v>2246</v>
      </c>
      <c r="B447" s="1852" t="s">
        <v>16</v>
      </c>
      <c r="C447" s="1852" t="s">
        <v>2805</v>
      </c>
      <c r="D447" s="1852" t="s">
        <v>2806</v>
      </c>
      <c r="E447" s="1852" t="s">
        <v>2807</v>
      </c>
      <c r="F447" s="1852" t="s">
        <v>2618</v>
      </c>
      <c r="G447" s="1852" t="s">
        <v>22</v>
      </c>
      <c r="H447" s="1852" t="s">
        <v>22</v>
      </c>
      <c r="I447" s="1852" t="s">
        <v>854</v>
      </c>
    </row>
    <row customHeight="1" ht="11.25">
      <c r="A448" s="1852" t="s">
        <v>2246</v>
      </c>
      <c r="B448" s="1852" t="s">
        <v>16</v>
      </c>
      <c r="C448" s="1852" t="s">
        <v>2808</v>
      </c>
      <c r="D448" s="1852" t="s">
        <v>2809</v>
      </c>
      <c r="E448" s="1852" t="s">
        <v>2810</v>
      </c>
      <c r="F448" s="1852" t="s">
        <v>2250</v>
      </c>
      <c r="G448" s="1852" t="s">
        <v>22</v>
      </c>
      <c r="H448" s="1852" t="s">
        <v>22</v>
      </c>
      <c r="I448" s="1852" t="s">
        <v>854</v>
      </c>
    </row>
    <row customHeight="1" ht="11.25">
      <c r="A449" s="1852" t="s">
        <v>2246</v>
      </c>
      <c r="B449" s="1852" t="s">
        <v>16</v>
      </c>
      <c r="C449" s="1852" t="s">
        <v>2811</v>
      </c>
      <c r="D449" s="1852" t="s">
        <v>2812</v>
      </c>
      <c r="E449" s="1852" t="s">
        <v>2813</v>
      </c>
      <c r="F449" s="1852" t="s">
        <v>2250</v>
      </c>
      <c r="G449" s="1852" t="s">
        <v>22</v>
      </c>
      <c r="H449" s="1852" t="s">
        <v>22</v>
      </c>
      <c r="I449" s="1852" t="s">
        <v>854</v>
      </c>
    </row>
    <row customHeight="1" ht="11.25">
      <c r="A450" s="1852" t="s">
        <v>2246</v>
      </c>
      <c r="B450" s="1852" t="s">
        <v>16</v>
      </c>
      <c r="C450" s="1852" t="s">
        <v>2814</v>
      </c>
      <c r="D450" s="1852" t="s">
        <v>2815</v>
      </c>
      <c r="E450" s="1852" t="s">
        <v>2816</v>
      </c>
      <c r="F450" s="1852" t="s">
        <v>2250</v>
      </c>
      <c r="G450" s="1852" t="s">
        <v>22</v>
      </c>
      <c r="H450" s="1852" t="s">
        <v>22</v>
      </c>
      <c r="I450" s="1852" t="s">
        <v>854</v>
      </c>
    </row>
    <row customHeight="1" ht="11.25">
      <c r="A451" s="1852" t="s">
        <v>2246</v>
      </c>
      <c r="B451" s="1852" t="s">
        <v>16</v>
      </c>
      <c r="C451" s="1852" t="s">
        <v>2817</v>
      </c>
      <c r="D451" s="1852" t="s">
        <v>2818</v>
      </c>
      <c r="E451" s="1852" t="s">
        <v>2819</v>
      </c>
      <c r="F451" s="1852" t="s">
        <v>2250</v>
      </c>
      <c r="G451" s="1852" t="s">
        <v>22</v>
      </c>
      <c r="H451" s="1852" t="s">
        <v>22</v>
      </c>
      <c r="I451" s="1852" t="s">
        <v>854</v>
      </c>
    </row>
    <row customHeight="1" ht="11.25">
      <c r="A452" s="1852" t="s">
        <v>2246</v>
      </c>
      <c r="B452" s="1852" t="s">
        <v>16</v>
      </c>
      <c r="C452" s="1852" t="s">
        <v>3298</v>
      </c>
      <c r="D452" s="1852" t="s">
        <v>3299</v>
      </c>
      <c r="E452" s="1852" t="s">
        <v>3300</v>
      </c>
      <c r="F452" s="1852" t="s">
        <v>2250</v>
      </c>
      <c r="G452" s="1852" t="s">
        <v>22</v>
      </c>
      <c r="H452" s="1852" t="s">
        <v>22</v>
      </c>
      <c r="I452" s="1852" t="s">
        <v>854</v>
      </c>
    </row>
    <row customHeight="1" ht="11.25">
      <c r="A453" s="1852" t="s">
        <v>2246</v>
      </c>
      <c r="B453" s="1852" t="s">
        <v>16</v>
      </c>
      <c r="C453" s="1852" t="s">
        <v>2820</v>
      </c>
      <c r="D453" s="1852" t="s">
        <v>2821</v>
      </c>
      <c r="E453" s="1852" t="s">
        <v>2822</v>
      </c>
      <c r="F453" s="1852" t="s">
        <v>2259</v>
      </c>
      <c r="G453" s="1852" t="s">
        <v>22</v>
      </c>
      <c r="H453" s="1852" t="s">
        <v>22</v>
      </c>
      <c r="I453" s="1852" t="s">
        <v>854</v>
      </c>
    </row>
    <row customHeight="1" ht="11.25">
      <c r="A454" s="1852" t="s">
        <v>2246</v>
      </c>
      <c r="B454" s="1852" t="s">
        <v>16</v>
      </c>
      <c r="C454" s="1852" t="s">
        <v>2823</v>
      </c>
      <c r="D454" s="1852" t="s">
        <v>2824</v>
      </c>
      <c r="E454" s="1852" t="s">
        <v>2825</v>
      </c>
      <c r="F454" s="1852" t="s">
        <v>2534</v>
      </c>
      <c r="G454" s="1852" t="s">
        <v>22</v>
      </c>
      <c r="H454" s="1852" t="s">
        <v>22</v>
      </c>
      <c r="I454" s="1852" t="s">
        <v>854</v>
      </c>
    </row>
    <row customHeight="1" ht="11.25">
      <c r="A455" s="1852" t="s">
        <v>2246</v>
      </c>
      <c r="B455" s="1852" t="s">
        <v>16</v>
      </c>
      <c r="C455" s="1852" t="s">
        <v>2832</v>
      </c>
      <c r="D455" s="1852" t="s">
        <v>2830</v>
      </c>
      <c r="E455" s="1852" t="s">
        <v>2833</v>
      </c>
      <c r="F455" s="1852" t="s">
        <v>2834</v>
      </c>
      <c r="G455" s="1852" t="s">
        <v>22</v>
      </c>
      <c r="H455" s="1852" t="s">
        <v>22</v>
      </c>
      <c r="I455" s="1852" t="s">
        <v>854</v>
      </c>
    </row>
    <row customHeight="1" ht="11.25">
      <c r="A456" s="1852" t="s">
        <v>2246</v>
      </c>
      <c r="B456" s="1852" t="s">
        <v>16</v>
      </c>
      <c r="C456" s="1852" t="s">
        <v>3301</v>
      </c>
      <c r="D456" s="1852" t="s">
        <v>2839</v>
      </c>
      <c r="E456" s="1852" t="s">
        <v>3302</v>
      </c>
      <c r="F456" s="1852" t="s">
        <v>2534</v>
      </c>
      <c r="G456" s="1852" t="s">
        <v>22</v>
      </c>
      <c r="H456" s="1852" t="s">
        <v>22</v>
      </c>
      <c r="I456" s="1852" t="s">
        <v>854</v>
      </c>
    </row>
    <row customHeight="1" ht="11.25">
      <c r="A457" s="1852" t="s">
        <v>2246</v>
      </c>
      <c r="B457" s="1852" t="s">
        <v>16</v>
      </c>
      <c r="C457" s="1852" t="s">
        <v>3303</v>
      </c>
      <c r="D457" s="1852" t="s">
        <v>3304</v>
      </c>
      <c r="E457" s="1852" t="s">
        <v>3305</v>
      </c>
      <c r="F457" s="1852" t="s">
        <v>2623</v>
      </c>
      <c r="G457" s="1852" t="s">
        <v>22</v>
      </c>
      <c r="H457" s="1852" t="s">
        <v>22</v>
      </c>
      <c r="I457" s="1852" t="s">
        <v>854</v>
      </c>
    </row>
    <row customHeight="1" ht="11.25">
      <c r="A458" s="1852" t="s">
        <v>2246</v>
      </c>
      <c r="B458" s="1852" t="s">
        <v>16</v>
      </c>
      <c r="C458" s="1852" t="s">
        <v>2841</v>
      </c>
      <c r="D458" s="1852" t="s">
        <v>2842</v>
      </c>
      <c r="E458" s="1852" t="s">
        <v>2843</v>
      </c>
      <c r="F458" s="1852" t="s">
        <v>2274</v>
      </c>
      <c r="G458" s="1852" t="s">
        <v>22</v>
      </c>
      <c r="H458" s="1852" t="s">
        <v>22</v>
      </c>
      <c r="I458" s="1852" t="s">
        <v>854</v>
      </c>
    </row>
    <row customHeight="1" ht="11.25">
      <c r="A459" s="1852" t="s">
        <v>2246</v>
      </c>
      <c r="B459" s="1852" t="s">
        <v>16</v>
      </c>
      <c r="C459" s="1852" t="s">
        <v>2854</v>
      </c>
      <c r="D459" s="1852" t="s">
        <v>2855</v>
      </c>
      <c r="E459" s="1852" t="s">
        <v>2856</v>
      </c>
      <c r="F459" s="1852" t="s">
        <v>2341</v>
      </c>
      <c r="G459" s="1852" t="s">
        <v>22</v>
      </c>
      <c r="H459" s="1852" t="s">
        <v>22</v>
      </c>
      <c r="I459" s="1852" t="s">
        <v>854</v>
      </c>
    </row>
    <row customHeight="1" ht="11.25">
      <c r="A460" s="1852" t="s">
        <v>2246</v>
      </c>
      <c r="B460" s="1852" t="s">
        <v>16</v>
      </c>
      <c r="C460" s="1852" t="s">
        <v>2857</v>
      </c>
      <c r="D460" s="1852" t="s">
        <v>2858</v>
      </c>
      <c r="E460" s="1852" t="s">
        <v>2859</v>
      </c>
      <c r="F460" s="1852" t="s">
        <v>2860</v>
      </c>
      <c r="G460" s="1852" t="s">
        <v>2861</v>
      </c>
      <c r="H460" s="1852" t="s">
        <v>22</v>
      </c>
      <c r="I460" s="1852" t="s">
        <v>854</v>
      </c>
    </row>
    <row customHeight="1" ht="11.25">
      <c r="A461" s="1852" t="s">
        <v>2246</v>
      </c>
      <c r="B461" s="1852" t="s">
        <v>16</v>
      </c>
      <c r="C461" s="1852" t="s">
        <v>3155</v>
      </c>
      <c r="D461" s="1852" t="s">
        <v>3156</v>
      </c>
      <c r="E461" s="1852" t="s">
        <v>3157</v>
      </c>
      <c r="F461" s="1852" t="s">
        <v>2592</v>
      </c>
      <c r="G461" s="1852" t="s">
        <v>3158</v>
      </c>
      <c r="H461" s="1852" t="s">
        <v>22</v>
      </c>
      <c r="I461" s="1852" t="s">
        <v>854</v>
      </c>
    </row>
    <row customHeight="1" ht="11.25">
      <c r="A462" s="1852" t="s">
        <v>2246</v>
      </c>
      <c r="B462" s="1852" t="s">
        <v>16</v>
      </c>
      <c r="C462" s="1852" t="s">
        <v>3306</v>
      </c>
      <c r="D462" s="1852" t="s">
        <v>3307</v>
      </c>
      <c r="E462" s="1852" t="s">
        <v>3308</v>
      </c>
      <c r="F462" s="1852" t="s">
        <v>2834</v>
      </c>
      <c r="G462" s="1852" t="s">
        <v>22</v>
      </c>
      <c r="H462" s="1852" t="s">
        <v>22</v>
      </c>
      <c r="I462" s="1852" t="s">
        <v>854</v>
      </c>
    </row>
    <row customHeight="1" ht="11.25">
      <c r="A463" s="1852" t="s">
        <v>2246</v>
      </c>
      <c r="B463" s="1852" t="s">
        <v>16</v>
      </c>
      <c r="C463" s="1852" t="s">
        <v>2862</v>
      </c>
      <c r="D463" s="1852" t="s">
        <v>2863</v>
      </c>
      <c r="E463" s="1852" t="s">
        <v>2864</v>
      </c>
      <c r="F463" s="1852" t="s">
        <v>2534</v>
      </c>
      <c r="G463" s="1852" t="s">
        <v>22</v>
      </c>
      <c r="H463" s="1852" t="s">
        <v>22</v>
      </c>
      <c r="I463" s="1852" t="s">
        <v>854</v>
      </c>
    </row>
    <row customHeight="1" ht="11.25">
      <c r="A464" s="1852" t="s">
        <v>2246</v>
      </c>
      <c r="B464" s="1852" t="s">
        <v>16</v>
      </c>
      <c r="C464" s="1852" t="s">
        <v>2865</v>
      </c>
      <c r="D464" s="1852" t="s">
        <v>2866</v>
      </c>
      <c r="E464" s="1852" t="s">
        <v>2867</v>
      </c>
      <c r="F464" s="1852" t="s">
        <v>2259</v>
      </c>
      <c r="G464" s="1852" t="s">
        <v>22</v>
      </c>
      <c r="H464" s="1852" t="s">
        <v>22</v>
      </c>
      <c r="I464" s="1852" t="s">
        <v>854</v>
      </c>
    </row>
    <row customHeight="1" ht="11.25">
      <c r="A465" s="1852" t="s">
        <v>2246</v>
      </c>
      <c r="B465" s="1852" t="s">
        <v>16</v>
      </c>
      <c r="C465" s="1852" t="s">
        <v>2868</v>
      </c>
      <c r="D465" s="1852" t="s">
        <v>2869</v>
      </c>
      <c r="E465" s="1852" t="s">
        <v>2870</v>
      </c>
      <c r="F465" s="1852" t="s">
        <v>2534</v>
      </c>
      <c r="G465" s="1852" t="s">
        <v>22</v>
      </c>
      <c r="H465" s="1852" t="s">
        <v>22</v>
      </c>
      <c r="I465" s="1852" t="s">
        <v>854</v>
      </c>
    </row>
    <row customHeight="1" ht="11.25">
      <c r="A466" s="1852" t="s">
        <v>2246</v>
      </c>
      <c r="B466" s="1852" t="s">
        <v>16</v>
      </c>
      <c r="C466" s="1852" t="s">
        <v>2871</v>
      </c>
      <c r="D466" s="1852" t="s">
        <v>2872</v>
      </c>
      <c r="E466" s="1852" t="s">
        <v>2873</v>
      </c>
      <c r="F466" s="1852" t="s">
        <v>2365</v>
      </c>
      <c r="G466" s="1852" t="s">
        <v>22</v>
      </c>
      <c r="H466" s="1852" t="s">
        <v>22</v>
      </c>
      <c r="I466" s="1852" t="s">
        <v>854</v>
      </c>
    </row>
    <row customHeight="1" ht="11.25">
      <c r="A467" s="1852" t="s">
        <v>2246</v>
      </c>
      <c r="B467" s="1852" t="s">
        <v>16</v>
      </c>
      <c r="C467" s="1852" t="s">
        <v>2877</v>
      </c>
      <c r="D467" s="1852" t="s">
        <v>2878</v>
      </c>
      <c r="E467" s="1852" t="s">
        <v>2879</v>
      </c>
      <c r="F467" s="1852" t="s">
        <v>2365</v>
      </c>
      <c r="G467" s="1852" t="s">
        <v>22</v>
      </c>
      <c r="H467" s="1852" t="s">
        <v>22</v>
      </c>
      <c r="I467" s="1852" t="s">
        <v>854</v>
      </c>
    </row>
    <row customHeight="1" ht="11.25">
      <c r="A468" s="1852" t="s">
        <v>2246</v>
      </c>
      <c r="B468" s="1852" t="s">
        <v>16</v>
      </c>
      <c r="C468" s="1852" t="s">
        <v>2880</v>
      </c>
      <c r="D468" s="1852" t="s">
        <v>2881</v>
      </c>
      <c r="E468" s="1852" t="s">
        <v>2882</v>
      </c>
      <c r="F468" s="1852" t="s">
        <v>2259</v>
      </c>
      <c r="G468" s="1852" t="s">
        <v>2520</v>
      </c>
      <c r="H468" s="1852" t="s">
        <v>22</v>
      </c>
      <c r="I468" s="1852" t="s">
        <v>854</v>
      </c>
    </row>
    <row customHeight="1" ht="11.25">
      <c r="A469" s="1852" t="s">
        <v>2246</v>
      </c>
      <c r="B469" s="1852" t="s">
        <v>16</v>
      </c>
      <c r="C469" s="1852" t="s">
        <v>2886</v>
      </c>
      <c r="D469" s="1852" t="s">
        <v>2887</v>
      </c>
      <c r="E469" s="1852" t="s">
        <v>2888</v>
      </c>
      <c r="F469" s="1852" t="s">
        <v>2534</v>
      </c>
      <c r="G469" s="1852" t="s">
        <v>22</v>
      </c>
      <c r="H469" s="1852" t="s">
        <v>22</v>
      </c>
      <c r="I469" s="1852" t="s">
        <v>854</v>
      </c>
    </row>
    <row customHeight="1" ht="11.25">
      <c r="A470" s="1852" t="s">
        <v>2246</v>
      </c>
      <c r="B470" s="1852" t="s">
        <v>16</v>
      </c>
      <c r="C470" s="1852" t="s">
        <v>3309</v>
      </c>
      <c r="D470" s="1852" t="s">
        <v>3310</v>
      </c>
      <c r="E470" s="1852" t="s">
        <v>3311</v>
      </c>
      <c r="F470" s="1852" t="s">
        <v>2534</v>
      </c>
      <c r="G470" s="1852" t="s">
        <v>22</v>
      </c>
      <c r="H470" s="1852" t="s">
        <v>22</v>
      </c>
      <c r="I470" s="1852" t="s">
        <v>854</v>
      </c>
    </row>
    <row customHeight="1" ht="11.25">
      <c r="A471" s="1852" t="s">
        <v>2246</v>
      </c>
      <c r="B471" s="1852" t="s">
        <v>16</v>
      </c>
      <c r="C471" s="1852" t="s">
        <v>2889</v>
      </c>
      <c r="D471" s="1852" t="s">
        <v>2890</v>
      </c>
      <c r="E471" s="1852" t="s">
        <v>2891</v>
      </c>
      <c r="F471" s="1852" t="s">
        <v>2554</v>
      </c>
      <c r="G471" s="1852" t="s">
        <v>22</v>
      </c>
      <c r="H471" s="1852" t="s">
        <v>22</v>
      </c>
      <c r="I471" s="1852" t="s">
        <v>854</v>
      </c>
    </row>
    <row customHeight="1" ht="11.25">
      <c r="A472" s="1852" t="s">
        <v>2246</v>
      </c>
      <c r="B472" s="1852" t="s">
        <v>16</v>
      </c>
      <c r="C472" s="1852" t="s">
        <v>2901</v>
      </c>
      <c r="D472" s="1852" t="s">
        <v>2902</v>
      </c>
      <c r="E472" s="1852" t="s">
        <v>2903</v>
      </c>
      <c r="F472" s="1852" t="s">
        <v>2759</v>
      </c>
      <c r="G472" s="1852" t="s">
        <v>22</v>
      </c>
      <c r="H472" s="1852" t="s">
        <v>22</v>
      </c>
      <c r="I472" s="1852" t="s">
        <v>854</v>
      </c>
    </row>
    <row customHeight="1" ht="11.25">
      <c r="A473" s="1852" t="s">
        <v>2246</v>
      </c>
      <c r="B473" s="1852" t="s">
        <v>16</v>
      </c>
      <c r="C473" s="1852" t="s">
        <v>2910</v>
      </c>
      <c r="D473" s="1852" t="s">
        <v>2911</v>
      </c>
      <c r="E473" s="1852" t="s">
        <v>2912</v>
      </c>
      <c r="F473" s="1852" t="s">
        <v>2318</v>
      </c>
      <c r="G473" s="1852" t="s">
        <v>22</v>
      </c>
      <c r="H473" s="1852" t="s">
        <v>2565</v>
      </c>
      <c r="I473" s="1852" t="s">
        <v>854</v>
      </c>
    </row>
    <row customHeight="1" ht="11.25">
      <c r="A474" s="1852" t="s">
        <v>2246</v>
      </c>
      <c r="B474" s="1852" t="s">
        <v>16</v>
      </c>
      <c r="C474" s="1852" t="s">
        <v>2913</v>
      </c>
      <c r="D474" s="1852" t="s">
        <v>2914</v>
      </c>
      <c r="E474" s="1852" t="s">
        <v>2915</v>
      </c>
      <c r="F474" s="1852" t="s">
        <v>2534</v>
      </c>
      <c r="G474" s="1852" t="s">
        <v>22</v>
      </c>
      <c r="H474" s="1852" t="s">
        <v>22</v>
      </c>
      <c r="I474" s="1852" t="s">
        <v>854</v>
      </c>
    </row>
    <row customHeight="1" ht="11.25">
      <c r="A475" s="1852" t="s">
        <v>2246</v>
      </c>
      <c r="B475" s="1852" t="s">
        <v>16</v>
      </c>
      <c r="C475" s="1852" t="s">
        <v>3312</v>
      </c>
      <c r="D475" s="1852" t="s">
        <v>3313</v>
      </c>
      <c r="E475" s="1852" t="s">
        <v>3314</v>
      </c>
      <c r="F475" s="1852" t="s">
        <v>2534</v>
      </c>
      <c r="G475" s="1852" t="s">
        <v>22</v>
      </c>
      <c r="H475" s="1852" t="s">
        <v>22</v>
      </c>
      <c r="I475" s="1852" t="s">
        <v>854</v>
      </c>
    </row>
    <row customHeight="1" ht="11.25">
      <c r="A476" s="1852" t="s">
        <v>2246</v>
      </c>
      <c r="B476" s="1852" t="s">
        <v>16</v>
      </c>
      <c r="C476" s="1852" t="s">
        <v>3315</v>
      </c>
      <c r="D476" s="1852" t="s">
        <v>3316</v>
      </c>
      <c r="E476" s="1852" t="s">
        <v>3317</v>
      </c>
      <c r="F476" s="1852" t="s">
        <v>2613</v>
      </c>
      <c r="G476" s="1852" t="s">
        <v>22</v>
      </c>
      <c r="H476" s="1852" t="s">
        <v>22</v>
      </c>
      <c r="I476" s="1852" t="s">
        <v>854</v>
      </c>
    </row>
    <row customHeight="1" ht="11.25">
      <c r="A477" s="1852" t="s">
        <v>2246</v>
      </c>
      <c r="B477" s="1852" t="s">
        <v>16</v>
      </c>
      <c r="C477" s="1852" t="s">
        <v>2919</v>
      </c>
      <c r="D477" s="1852" t="s">
        <v>2920</v>
      </c>
      <c r="E477" s="1852" t="s">
        <v>2921</v>
      </c>
      <c r="F477" s="1852" t="s">
        <v>2588</v>
      </c>
      <c r="G477" s="1852" t="s">
        <v>22</v>
      </c>
      <c r="H477" s="1852" t="s">
        <v>22</v>
      </c>
      <c r="I477" s="1852" t="s">
        <v>854</v>
      </c>
    </row>
    <row customHeight="1" ht="11.25">
      <c r="A478" s="1852" t="s">
        <v>2246</v>
      </c>
      <c r="B478" s="1852" t="s">
        <v>16</v>
      </c>
      <c r="C478" s="1852" t="s">
        <v>2925</v>
      </c>
      <c r="D478" s="1852" t="s">
        <v>2926</v>
      </c>
      <c r="E478" s="1852" t="s">
        <v>2927</v>
      </c>
      <c r="F478" s="1852" t="s">
        <v>2373</v>
      </c>
      <c r="G478" s="1852" t="s">
        <v>22</v>
      </c>
      <c r="H478" s="1852" t="s">
        <v>22</v>
      </c>
      <c r="I478" s="1852" t="s">
        <v>854</v>
      </c>
    </row>
    <row customHeight="1" ht="11.25">
      <c r="A479" s="1852" t="s">
        <v>2246</v>
      </c>
      <c r="B479" s="1852" t="s">
        <v>16</v>
      </c>
      <c r="C479" s="1852" t="s">
        <v>2928</v>
      </c>
      <c r="D479" s="1852" t="s">
        <v>2929</v>
      </c>
      <c r="E479" s="1852" t="s">
        <v>2930</v>
      </c>
      <c r="F479" s="1852" t="s">
        <v>2318</v>
      </c>
      <c r="G479" s="1852" t="s">
        <v>2931</v>
      </c>
      <c r="H479" s="1852" t="s">
        <v>22</v>
      </c>
      <c r="I479" s="1852" t="s">
        <v>854</v>
      </c>
    </row>
    <row customHeight="1" ht="11.25">
      <c r="A480" s="1852" t="s">
        <v>2246</v>
      </c>
      <c r="B480" s="1852" t="s">
        <v>16</v>
      </c>
      <c r="C480" s="1852" t="s">
        <v>3318</v>
      </c>
      <c r="D480" s="1852" t="s">
        <v>3319</v>
      </c>
      <c r="E480" s="1852" t="s">
        <v>3320</v>
      </c>
      <c r="F480" s="1852" t="s">
        <v>2554</v>
      </c>
      <c r="G480" s="1852" t="s">
        <v>22</v>
      </c>
      <c r="H480" s="1852" t="s">
        <v>22</v>
      </c>
      <c r="I480" s="1852" t="s">
        <v>854</v>
      </c>
    </row>
    <row customHeight="1" ht="11.25">
      <c r="A481" s="1852" t="s">
        <v>2246</v>
      </c>
      <c r="B481" s="1852" t="s">
        <v>16</v>
      </c>
      <c r="C481" s="1852" t="s">
        <v>2932</v>
      </c>
      <c r="D481" s="1852" t="s">
        <v>2933</v>
      </c>
      <c r="E481" s="1852" t="s">
        <v>2934</v>
      </c>
      <c r="F481" s="1852" t="s">
        <v>2259</v>
      </c>
      <c r="G481" s="1852" t="s">
        <v>22</v>
      </c>
      <c r="H481" s="1852" t="s">
        <v>22</v>
      </c>
      <c r="I481" s="1852" t="s">
        <v>854</v>
      </c>
    </row>
    <row customHeight="1" ht="11.25">
      <c r="A482" s="1852" t="s">
        <v>2246</v>
      </c>
      <c r="B482" s="1852" t="s">
        <v>16</v>
      </c>
      <c r="C482" s="1852" t="s">
        <v>2935</v>
      </c>
      <c r="D482" s="1852" t="s">
        <v>2936</v>
      </c>
      <c r="E482" s="1852" t="s">
        <v>2937</v>
      </c>
      <c r="F482" s="1852" t="s">
        <v>2333</v>
      </c>
      <c r="G482" s="1852" t="s">
        <v>22</v>
      </c>
      <c r="H482" s="1852" t="s">
        <v>22</v>
      </c>
      <c r="I482" s="1852" t="s">
        <v>854</v>
      </c>
    </row>
    <row customHeight="1" ht="11.25">
      <c r="A483" s="1852" t="s">
        <v>2246</v>
      </c>
      <c r="B483" s="1852" t="s">
        <v>16</v>
      </c>
      <c r="C483" s="1852" t="s">
        <v>2941</v>
      </c>
      <c r="D483" s="1852" t="s">
        <v>2942</v>
      </c>
      <c r="E483" s="1852" t="s">
        <v>2943</v>
      </c>
      <c r="F483" s="1852" t="s">
        <v>2669</v>
      </c>
      <c r="G483" s="1852" t="s">
        <v>22</v>
      </c>
      <c r="H483" s="1852" t="s">
        <v>22</v>
      </c>
      <c r="I483" s="1852" t="s">
        <v>854</v>
      </c>
    </row>
    <row customHeight="1" ht="11.25">
      <c r="A484" s="1852" t="s">
        <v>2246</v>
      </c>
      <c r="B484" s="1852" t="s">
        <v>16</v>
      </c>
      <c r="C484" s="1852" t="s">
        <v>2962</v>
      </c>
      <c r="D484" s="1852" t="s">
        <v>2963</v>
      </c>
      <c r="E484" s="1852" t="s">
        <v>2964</v>
      </c>
      <c r="F484" s="1852" t="s">
        <v>2250</v>
      </c>
      <c r="G484" s="1852" t="s">
        <v>22</v>
      </c>
      <c r="H484" s="1852" t="s">
        <v>22</v>
      </c>
      <c r="I484" s="1852" t="s">
        <v>854</v>
      </c>
    </row>
    <row customHeight="1" ht="11.25">
      <c r="A485" s="1852" t="s">
        <v>2246</v>
      </c>
      <c r="B485" s="1852" t="s">
        <v>16</v>
      </c>
      <c r="C485" s="1852" t="s">
        <v>2971</v>
      </c>
      <c r="D485" s="1852" t="s">
        <v>2969</v>
      </c>
      <c r="E485" s="1852" t="s">
        <v>2972</v>
      </c>
      <c r="F485" s="1852" t="s">
        <v>2534</v>
      </c>
      <c r="G485" s="1852" t="s">
        <v>2973</v>
      </c>
      <c r="H485" s="1852" t="s">
        <v>22</v>
      </c>
      <c r="I485" s="1852" t="s">
        <v>854</v>
      </c>
    </row>
    <row customHeight="1" ht="11.25">
      <c r="A486" s="1852" t="s">
        <v>2246</v>
      </c>
      <c r="B486" s="1852" t="s">
        <v>16</v>
      </c>
      <c r="C486" s="1852" t="s">
        <v>2977</v>
      </c>
      <c r="D486" s="1852" t="s">
        <v>2978</v>
      </c>
      <c r="E486" s="1852" t="s">
        <v>2979</v>
      </c>
      <c r="F486" s="1852" t="s">
        <v>2494</v>
      </c>
      <c r="G486" s="1852" t="s">
        <v>22</v>
      </c>
      <c r="H486" s="1852" t="s">
        <v>22</v>
      </c>
      <c r="I486" s="1852" t="s">
        <v>854</v>
      </c>
    </row>
    <row customHeight="1" ht="11.25">
      <c r="A487" s="1852" t="s">
        <v>2246</v>
      </c>
      <c r="B487" s="1852" t="s">
        <v>16</v>
      </c>
      <c r="C487" s="1852" t="s">
        <v>3321</v>
      </c>
      <c r="D487" s="1852" t="s">
        <v>3322</v>
      </c>
      <c r="E487" s="1852" t="s">
        <v>3323</v>
      </c>
      <c r="F487" s="1852" t="s">
        <v>2373</v>
      </c>
      <c r="G487" s="1852" t="s">
        <v>22</v>
      </c>
      <c r="H487" s="1852" t="s">
        <v>3324</v>
      </c>
      <c r="I487" s="1852" t="s">
        <v>854</v>
      </c>
    </row>
    <row customHeight="1" ht="11.25">
      <c r="A488" s="1852" t="s">
        <v>2246</v>
      </c>
      <c r="B488" s="1852" t="s">
        <v>16</v>
      </c>
      <c r="C488" s="1852" t="s">
        <v>3026</v>
      </c>
      <c r="D488" s="1852" t="s">
        <v>3027</v>
      </c>
      <c r="E488" s="1852" t="s">
        <v>3028</v>
      </c>
      <c r="F488" s="1852" t="s">
        <v>2351</v>
      </c>
      <c r="G488" s="1852" t="s">
        <v>22</v>
      </c>
      <c r="H488" s="1852" t="s">
        <v>22</v>
      </c>
      <c r="I488" s="1852" t="s">
        <v>854</v>
      </c>
    </row>
    <row customHeight="1" ht="11.25">
      <c r="A489" s="1852" t="s">
        <v>2246</v>
      </c>
      <c r="B489" s="1852" t="s">
        <v>16</v>
      </c>
      <c r="C489" s="1852" t="s">
        <v>3325</v>
      </c>
      <c r="D489" s="1852" t="s">
        <v>3326</v>
      </c>
      <c r="E489" s="1852" t="s">
        <v>3327</v>
      </c>
      <c r="F489" s="1852" t="s">
        <v>2351</v>
      </c>
      <c r="G489" s="1852" t="s">
        <v>22</v>
      </c>
      <c r="H489" s="1852" t="s">
        <v>22</v>
      </c>
      <c r="I489" s="1852" t="s">
        <v>854</v>
      </c>
    </row>
    <row customHeight="1" ht="11.25">
      <c r="A490" s="1852" t="s">
        <v>2246</v>
      </c>
      <c r="B490" s="1852" t="s">
        <v>16</v>
      </c>
      <c r="C490" s="1852" t="s">
        <v>3029</v>
      </c>
      <c r="D490" s="1852" t="s">
        <v>3030</v>
      </c>
      <c r="E490" s="1852" t="s">
        <v>3031</v>
      </c>
      <c r="F490" s="1852" t="s">
        <v>2351</v>
      </c>
      <c r="G490" s="1852" t="s">
        <v>22</v>
      </c>
      <c r="H490" s="1852" t="s">
        <v>22</v>
      </c>
      <c r="I490" s="1852" t="s">
        <v>854</v>
      </c>
    </row>
    <row customHeight="1" ht="11.25">
      <c r="A491" s="1852" t="s">
        <v>2246</v>
      </c>
      <c r="B491" s="1852" t="s">
        <v>16</v>
      </c>
      <c r="C491" s="1852" t="s">
        <v>3328</v>
      </c>
      <c r="D491" s="1852" t="s">
        <v>3329</v>
      </c>
      <c r="E491" s="1852" t="s">
        <v>3330</v>
      </c>
      <c r="F491" s="1852" t="s">
        <v>2318</v>
      </c>
      <c r="G491" s="1852" t="s">
        <v>3331</v>
      </c>
      <c r="H491" s="1852" t="s">
        <v>22</v>
      </c>
      <c r="I491" s="1852" t="s">
        <v>854</v>
      </c>
    </row>
    <row customHeight="1" ht="11.25">
      <c r="A492" s="1852" t="s">
        <v>2246</v>
      </c>
      <c r="B492" s="1852" t="s">
        <v>16</v>
      </c>
      <c r="C492" s="1852" t="s">
        <v>3038</v>
      </c>
      <c r="D492" s="1852" t="s">
        <v>3039</v>
      </c>
      <c r="E492" s="1852" t="s">
        <v>3040</v>
      </c>
      <c r="F492" s="1852" t="s">
        <v>2534</v>
      </c>
      <c r="G492" s="1852" t="s">
        <v>3041</v>
      </c>
      <c r="H492" s="1852" t="s">
        <v>22</v>
      </c>
      <c r="I492" s="1852" t="s">
        <v>854</v>
      </c>
    </row>
    <row customHeight="1" ht="11.25">
      <c r="A493" s="1852" t="s">
        <v>2246</v>
      </c>
      <c r="B493" s="1852" t="s">
        <v>16</v>
      </c>
      <c r="C493" s="1852" t="s">
        <v>3042</v>
      </c>
      <c r="D493" s="1852" t="s">
        <v>3043</v>
      </c>
      <c r="E493" s="1852" t="s">
        <v>3044</v>
      </c>
      <c r="F493" s="1852" t="s">
        <v>2373</v>
      </c>
      <c r="G493" s="1852" t="s">
        <v>22</v>
      </c>
      <c r="H493" s="1852" t="s">
        <v>22</v>
      </c>
      <c r="I493" s="1852" t="s">
        <v>854</v>
      </c>
    </row>
    <row customHeight="1" ht="11.25">
      <c r="A494" s="1852" t="s">
        <v>2246</v>
      </c>
      <c r="B494" s="1852" t="s">
        <v>16</v>
      </c>
      <c r="C494" s="1852" t="s">
        <v>3049</v>
      </c>
      <c r="D494" s="1852" t="s">
        <v>3050</v>
      </c>
      <c r="E494" s="1852" t="s">
        <v>3051</v>
      </c>
      <c r="F494" s="1852" t="s">
        <v>2365</v>
      </c>
      <c r="G494" s="1852" t="s">
        <v>22</v>
      </c>
      <c r="H494" s="1852" t="s">
        <v>22</v>
      </c>
      <c r="I494" s="1852" t="s">
        <v>854</v>
      </c>
    </row>
    <row customHeight="1" ht="11.25">
      <c r="A495" s="1852" t="s">
        <v>2246</v>
      </c>
      <c r="B495" s="1852" t="s">
        <v>16</v>
      </c>
      <c r="C495" s="1852" t="s">
        <v>3052</v>
      </c>
      <c r="D495" s="1852" t="s">
        <v>3053</v>
      </c>
      <c r="E495" s="1852" t="s">
        <v>3054</v>
      </c>
      <c r="F495" s="1852" t="s">
        <v>2365</v>
      </c>
      <c r="G495" s="1852" t="s">
        <v>22</v>
      </c>
      <c r="H495" s="1852" t="s">
        <v>22</v>
      </c>
      <c r="I495" s="1852" t="s">
        <v>854</v>
      </c>
    </row>
    <row customHeight="1" ht="11.25">
      <c r="A496" s="1852" t="s">
        <v>2246</v>
      </c>
      <c r="B496" s="1852" t="s">
        <v>16</v>
      </c>
      <c r="C496" s="1852" t="s">
        <v>3332</v>
      </c>
      <c r="D496" s="1852" t="s">
        <v>3333</v>
      </c>
      <c r="E496" s="1852" t="s">
        <v>3334</v>
      </c>
      <c r="F496" s="1852" t="s">
        <v>2524</v>
      </c>
      <c r="G496" s="1852" t="s">
        <v>22</v>
      </c>
      <c r="H496" s="1852" t="s">
        <v>22</v>
      </c>
      <c r="I496" s="1852" t="s">
        <v>854</v>
      </c>
    </row>
    <row customHeight="1" ht="11.25">
      <c r="A497" s="1852" t="s">
        <v>2246</v>
      </c>
      <c r="B497" s="1852" t="s">
        <v>16</v>
      </c>
      <c r="C497" s="1852" t="s">
        <v>3335</v>
      </c>
      <c r="D497" s="1852" t="s">
        <v>3336</v>
      </c>
      <c r="E497" s="1852" t="s">
        <v>3337</v>
      </c>
      <c r="F497" s="1852" t="s">
        <v>2392</v>
      </c>
      <c r="G497" s="1852" t="s">
        <v>22</v>
      </c>
      <c r="H497" s="1852" t="s">
        <v>3338</v>
      </c>
      <c r="I497" s="1852" t="s">
        <v>854</v>
      </c>
    </row>
    <row customHeight="1" ht="11.25">
      <c r="A498" s="1852" t="s">
        <v>2246</v>
      </c>
      <c r="B498" s="1852" t="s">
        <v>16</v>
      </c>
      <c r="C498" s="1852" t="s">
        <v>3159</v>
      </c>
      <c r="D498" s="1852" t="s">
        <v>3160</v>
      </c>
      <c r="E498" s="1852" t="s">
        <v>3161</v>
      </c>
      <c r="F498" s="1852" t="s">
        <v>3162</v>
      </c>
      <c r="G498" s="1852" t="s">
        <v>22</v>
      </c>
      <c r="H498" s="1852" t="s">
        <v>22</v>
      </c>
      <c r="I498" s="1852" t="s">
        <v>854</v>
      </c>
    </row>
    <row customHeight="1" ht="11.25">
      <c r="A499" s="1852" t="s">
        <v>2246</v>
      </c>
      <c r="B499" s="1852" t="s">
        <v>16</v>
      </c>
      <c r="C499" s="1852" t="s">
        <v>3073</v>
      </c>
      <c r="D499" s="1852" t="s">
        <v>3074</v>
      </c>
      <c r="E499" s="1852" t="s">
        <v>3075</v>
      </c>
      <c r="F499" s="1852" t="s">
        <v>2588</v>
      </c>
      <c r="G499" s="1852" t="s">
        <v>3076</v>
      </c>
      <c r="H499" s="1852" t="s">
        <v>22</v>
      </c>
      <c r="I499" s="1852" t="s">
        <v>854</v>
      </c>
    </row>
    <row customHeight="1" ht="11.25">
      <c r="A500" s="1852" t="s">
        <v>2246</v>
      </c>
      <c r="B500" s="1852" t="s">
        <v>16</v>
      </c>
      <c r="C500" s="1852" t="s">
        <v>3339</v>
      </c>
      <c r="D500" s="1852" t="s">
        <v>3340</v>
      </c>
      <c r="E500" s="1852" t="s">
        <v>3341</v>
      </c>
      <c r="F500" s="1852" t="s">
        <v>2351</v>
      </c>
      <c r="G500" s="1852" t="s">
        <v>22</v>
      </c>
      <c r="H500" s="1852" t="s">
        <v>22</v>
      </c>
      <c r="I500" s="1852" t="s">
        <v>854</v>
      </c>
    </row>
    <row customHeight="1" ht="11.25">
      <c r="A501" s="1852" t="s">
        <v>2246</v>
      </c>
      <c r="B501" s="1852" t="s">
        <v>16</v>
      </c>
      <c r="C501" s="1852" t="s">
        <v>3096</v>
      </c>
      <c r="D501" s="1852" t="s">
        <v>3097</v>
      </c>
      <c r="E501" s="1852" t="s">
        <v>3098</v>
      </c>
      <c r="F501" s="1852" t="s">
        <v>2534</v>
      </c>
      <c r="G501" s="1852" t="s">
        <v>22</v>
      </c>
      <c r="H501" s="1852" t="s">
        <v>22</v>
      </c>
      <c r="I501" s="1852" t="s">
        <v>854</v>
      </c>
    </row>
    <row customHeight="1" ht="11.25">
      <c r="A502" s="1852" t="s">
        <v>2246</v>
      </c>
      <c r="B502" s="1852" t="s">
        <v>16</v>
      </c>
      <c r="C502" s="1852" t="s">
        <v>3102</v>
      </c>
      <c r="D502" s="1852" t="s">
        <v>3103</v>
      </c>
      <c r="E502" s="1852" t="s">
        <v>3104</v>
      </c>
      <c r="F502" s="1852" t="s">
        <v>3105</v>
      </c>
      <c r="G502" s="1852" t="s">
        <v>22</v>
      </c>
      <c r="H502" s="1852" t="s">
        <v>22</v>
      </c>
      <c r="I502" s="1852" t="s">
        <v>854</v>
      </c>
    </row>
    <row customHeight="1" ht="11.25">
      <c r="A503" s="1852" t="s">
        <v>2246</v>
      </c>
      <c r="B503" s="1852" t="s">
        <v>16</v>
      </c>
      <c r="C503" s="1852" t="s">
        <v>3106</v>
      </c>
      <c r="D503" s="1852" t="s">
        <v>3107</v>
      </c>
      <c r="E503" s="1852" t="s">
        <v>3108</v>
      </c>
      <c r="F503" s="1852" t="s">
        <v>2326</v>
      </c>
      <c r="G503" s="1852" t="s">
        <v>22</v>
      </c>
      <c r="H503" s="1852" t="s">
        <v>22</v>
      </c>
      <c r="I503" s="1852" t="s">
        <v>854</v>
      </c>
    </row>
    <row customHeight="1" ht="11.25">
      <c r="A504" s="1852" t="s">
        <v>2246</v>
      </c>
      <c r="B504" s="1852" t="s">
        <v>16</v>
      </c>
      <c r="C504" s="1852" t="s">
        <v>13</v>
      </c>
      <c r="D504" s="1852" t="s">
        <v>46</v>
      </c>
      <c r="E504" s="1852" t="s">
        <v>49</v>
      </c>
      <c r="F504" s="1852" t="s">
        <v>51</v>
      </c>
      <c r="G504" s="1852" t="s">
        <v>22</v>
      </c>
      <c r="H504" s="1852" t="s">
        <v>22</v>
      </c>
      <c r="I504" s="1852" t="s">
        <v>854</v>
      </c>
    </row>
    <row customHeight="1" ht="11.25">
      <c r="A505" s="1852" t="s">
        <v>2246</v>
      </c>
      <c r="B505" s="1852" t="s">
        <v>16</v>
      </c>
      <c r="C505" s="1852" t="s">
        <v>3342</v>
      </c>
      <c r="D505" s="1852" t="s">
        <v>3343</v>
      </c>
      <c r="E505" s="1852" t="s">
        <v>3344</v>
      </c>
      <c r="F505" s="1852" t="s">
        <v>2250</v>
      </c>
      <c r="G505" s="1852" t="s">
        <v>22</v>
      </c>
      <c r="H505" s="1852" t="s">
        <v>22</v>
      </c>
      <c r="I505" s="1852" t="s">
        <v>854</v>
      </c>
    </row>
    <row customHeight="1" ht="11.25">
      <c r="A506" s="1852" t="s">
        <v>2246</v>
      </c>
      <c r="B506" s="1852" t="s">
        <v>16</v>
      </c>
      <c r="C506" s="1852" t="s">
        <v>3345</v>
      </c>
      <c r="D506" s="1852" t="s">
        <v>3346</v>
      </c>
      <c r="E506" s="1852" t="s">
        <v>3347</v>
      </c>
      <c r="F506" s="1852" t="s">
        <v>2494</v>
      </c>
      <c r="G506" s="1852" t="s">
        <v>22</v>
      </c>
      <c r="H506" s="1852" t="s">
        <v>22</v>
      </c>
      <c r="I506" s="1852" t="s">
        <v>854</v>
      </c>
    </row>
    <row customHeight="1" ht="11.25">
      <c r="A507" s="1852" t="s">
        <v>2246</v>
      </c>
      <c r="B507" s="1852" t="s">
        <v>16</v>
      </c>
      <c r="C507" s="1852" t="s">
        <v>3348</v>
      </c>
      <c r="D507" s="1852" t="s">
        <v>3349</v>
      </c>
      <c r="E507" s="1852" t="s">
        <v>3350</v>
      </c>
      <c r="F507" s="1852" t="s">
        <v>2546</v>
      </c>
      <c r="G507" s="1852" t="s">
        <v>22</v>
      </c>
      <c r="H507" s="1852" t="s">
        <v>22</v>
      </c>
      <c r="I507" s="1852" t="s">
        <v>854</v>
      </c>
    </row>
    <row customHeight="1" ht="11.25">
      <c r="A508" s="1852" t="s">
        <v>2246</v>
      </c>
      <c r="B508" s="1852" t="s">
        <v>16</v>
      </c>
      <c r="C508" s="1852" t="s">
        <v>3351</v>
      </c>
      <c r="D508" s="1852" t="s">
        <v>3352</v>
      </c>
      <c r="E508" s="1852" t="s">
        <v>3353</v>
      </c>
      <c r="F508" s="1852" t="s">
        <v>2613</v>
      </c>
      <c r="G508" s="1852" t="s">
        <v>22</v>
      </c>
      <c r="H508" s="1852" t="s">
        <v>22</v>
      </c>
      <c r="I508" s="1852" t="s">
        <v>854</v>
      </c>
    </row>
    <row customHeight="1" ht="11.25">
      <c r="A509" s="1852" t="s">
        <v>2246</v>
      </c>
      <c r="B509" s="1852" t="s">
        <v>16</v>
      </c>
      <c r="C509" s="1852" t="s">
        <v>3354</v>
      </c>
      <c r="D509" s="1852" t="s">
        <v>3355</v>
      </c>
      <c r="E509" s="1852" t="s">
        <v>3356</v>
      </c>
      <c r="F509" s="1852" t="s">
        <v>2759</v>
      </c>
      <c r="G509" s="1852" t="s">
        <v>22</v>
      </c>
      <c r="H509" s="1852" t="s">
        <v>22</v>
      </c>
      <c r="I509" s="1852" t="s">
        <v>854</v>
      </c>
    </row>
    <row customHeight="1" ht="11.25">
      <c r="A510" s="1852" t="s">
        <v>2246</v>
      </c>
      <c r="B510" s="1852" t="s">
        <v>16</v>
      </c>
      <c r="C510" s="1852" t="s">
        <v>3357</v>
      </c>
      <c r="D510" s="1852" t="s">
        <v>3358</v>
      </c>
      <c r="E510" s="1852" t="s">
        <v>3359</v>
      </c>
      <c r="F510" s="1852" t="s">
        <v>3360</v>
      </c>
      <c r="G510" s="1852" t="s">
        <v>22</v>
      </c>
      <c r="H510" s="1852" t="s">
        <v>22</v>
      </c>
      <c r="I510" s="1852" t="s">
        <v>854</v>
      </c>
    </row>
    <row customHeight="1" ht="11.25">
      <c r="A511" s="1852" t="s">
        <v>2246</v>
      </c>
      <c r="B511" s="1852" t="s">
        <v>16</v>
      </c>
      <c r="C511" s="1852" t="s">
        <v>3361</v>
      </c>
      <c r="D511" s="1852" t="s">
        <v>3362</v>
      </c>
      <c r="E511" s="1852" t="s">
        <v>3363</v>
      </c>
      <c r="F511" s="1852" t="s">
        <v>2494</v>
      </c>
      <c r="G511" s="1852" t="s">
        <v>22</v>
      </c>
      <c r="H511" s="1852" t="s">
        <v>22</v>
      </c>
      <c r="I511" s="1852" t="s">
        <v>854</v>
      </c>
    </row>
    <row customHeight="1" ht="11.25">
      <c r="A512" s="1852" t="s">
        <v>2246</v>
      </c>
      <c r="B512" s="1852" t="s">
        <v>16</v>
      </c>
      <c r="C512" s="1852" t="s">
        <v>3364</v>
      </c>
      <c r="D512" s="1852" t="s">
        <v>3365</v>
      </c>
      <c r="E512" s="1852" t="s">
        <v>3366</v>
      </c>
      <c r="F512" s="1852" t="s">
        <v>2318</v>
      </c>
      <c r="G512" s="1852" t="s">
        <v>22</v>
      </c>
      <c r="H512" s="1852" t="s">
        <v>22</v>
      </c>
      <c r="I512" s="1852" t="s">
        <v>854</v>
      </c>
    </row>
    <row customHeight="1" ht="11.25">
      <c r="A513" s="1852" t="s">
        <v>2246</v>
      </c>
      <c r="B513" s="1852" t="s">
        <v>16</v>
      </c>
      <c r="C513" s="1852" t="s">
        <v>3114</v>
      </c>
      <c r="D513" s="1852" t="s">
        <v>3115</v>
      </c>
      <c r="E513" s="1852" t="s">
        <v>3116</v>
      </c>
      <c r="F513" s="1852" t="s">
        <v>2318</v>
      </c>
      <c r="G513" s="1852" t="s">
        <v>22</v>
      </c>
      <c r="H513" s="1852" t="s">
        <v>22</v>
      </c>
      <c r="I513" s="1852" t="s">
        <v>854</v>
      </c>
    </row>
    <row customHeight="1" ht="11.25">
      <c r="A514" s="1852" t="s">
        <v>2246</v>
      </c>
      <c r="B514" s="1852" t="s">
        <v>16</v>
      </c>
      <c r="C514" s="1852" t="s">
        <v>3120</v>
      </c>
      <c r="D514" s="1852" t="s">
        <v>3121</v>
      </c>
      <c r="E514" s="1852" t="s">
        <v>2417</v>
      </c>
      <c r="F514" s="1852" t="s">
        <v>3122</v>
      </c>
      <c r="G514" s="1852" t="s">
        <v>22</v>
      </c>
      <c r="H514" s="1852" t="s">
        <v>22</v>
      </c>
      <c r="I514" s="1852" t="s">
        <v>854</v>
      </c>
    </row>
    <row customHeight="1" ht="11.25">
      <c r="A515" s="1852" t="s">
        <v>2246</v>
      </c>
      <c r="B515" s="1852" t="s">
        <v>16</v>
      </c>
      <c r="C515" s="1852" t="s">
        <v>3123</v>
      </c>
      <c r="D515" s="1852" t="s">
        <v>3124</v>
      </c>
      <c r="E515" s="1852" t="s">
        <v>3125</v>
      </c>
      <c r="F515" s="1852" t="s">
        <v>3126</v>
      </c>
      <c r="G515" s="1852" t="s">
        <v>3127</v>
      </c>
      <c r="H515" s="1852" t="s">
        <v>22</v>
      </c>
      <c r="I515" s="1852" t="s">
        <v>854</v>
      </c>
    </row>
    <row customHeight="1" ht="11.25">
      <c r="A516" s="1852" t="s">
        <v>2246</v>
      </c>
      <c r="B516" s="1852" t="s">
        <v>16</v>
      </c>
      <c r="C516" s="1852" t="s">
        <v>3133</v>
      </c>
      <c r="D516" s="1852" t="s">
        <v>3134</v>
      </c>
      <c r="E516" s="1852" t="s">
        <v>3135</v>
      </c>
      <c r="F516" s="1852" t="s">
        <v>3136</v>
      </c>
      <c r="G516" s="1852" t="s">
        <v>22</v>
      </c>
      <c r="H516" s="1852" t="s">
        <v>22</v>
      </c>
      <c r="I516" s="1852" t="s">
        <v>854</v>
      </c>
    </row>
    <row customHeight="1" ht="11.25">
      <c r="A517" s="1852" t="s">
        <v>2246</v>
      </c>
      <c r="B517" s="1852" t="s">
        <v>16</v>
      </c>
      <c r="C517" s="1852" t="s">
        <v>3137</v>
      </c>
      <c r="D517" s="1852" t="s">
        <v>3138</v>
      </c>
      <c r="E517" s="1852" t="s">
        <v>3135</v>
      </c>
      <c r="F517" s="1852" t="s">
        <v>3139</v>
      </c>
      <c r="G517" s="1852" t="s">
        <v>22</v>
      </c>
      <c r="H517" s="1852" t="s">
        <v>22</v>
      </c>
      <c r="I517" s="1852" t="s">
        <v>854</v>
      </c>
    </row>
    <row customHeight="1" ht="11.25">
      <c r="A518" s="1852" t="s">
        <v>2246</v>
      </c>
      <c r="B518" s="1852" t="s">
        <v>16</v>
      </c>
      <c r="C518" s="1852" t="s">
        <v>3140</v>
      </c>
      <c r="D518" s="1852" t="s">
        <v>3141</v>
      </c>
      <c r="E518" s="1852" t="s">
        <v>3142</v>
      </c>
      <c r="F518" s="1852" t="s">
        <v>2333</v>
      </c>
      <c r="G518" s="1852" t="s">
        <v>22</v>
      </c>
      <c r="H518" s="1852" t="s">
        <v>22</v>
      </c>
      <c r="I518" s="1852" t="s">
        <v>854</v>
      </c>
    </row>
    <row customHeight="1" ht="11.25">
      <c r="A519" s="1852" t="s">
        <v>2246</v>
      </c>
      <c r="B519" s="1852" t="s">
        <v>16</v>
      </c>
      <c r="C519" s="1852" t="s">
        <v>3148</v>
      </c>
      <c r="D519" s="1852" t="s">
        <v>3149</v>
      </c>
      <c r="E519" s="1852" t="s">
        <v>3150</v>
      </c>
      <c r="F519" s="1852" t="s">
        <v>2432</v>
      </c>
      <c r="G519" s="1852" t="s">
        <v>22</v>
      </c>
      <c r="H519" s="1852" t="s">
        <v>22</v>
      </c>
      <c r="I519" s="1852" t="s">
        <v>854</v>
      </c>
    </row>
    <row customHeight="1" ht="11.25">
      <c r="A520" s="1852" t="s">
        <v>2246</v>
      </c>
      <c r="B520" s="1852" t="s">
        <v>16</v>
      </c>
      <c r="C520" s="1852" t="s">
        <v>2251</v>
      </c>
      <c r="D520" s="1852" t="s">
        <v>2252</v>
      </c>
      <c r="E520" s="1852" t="s">
        <v>2253</v>
      </c>
      <c r="F520" s="1852" t="s">
        <v>2254</v>
      </c>
      <c r="G520" s="1852" t="s">
        <v>2255</v>
      </c>
      <c r="H520" s="1852" t="s">
        <v>22</v>
      </c>
      <c r="I520" s="1852" t="s">
        <v>907</v>
      </c>
    </row>
    <row customHeight="1" ht="11.25">
      <c r="A521" s="1852" t="s">
        <v>2246</v>
      </c>
      <c r="B521" s="1852" t="s">
        <v>16</v>
      </c>
      <c r="C521" s="1852" t="s">
        <v>2262</v>
      </c>
      <c r="D521" s="1852" t="s">
        <v>2263</v>
      </c>
      <c r="E521" s="1852" t="s">
        <v>2264</v>
      </c>
      <c r="F521" s="1852" t="s">
        <v>2259</v>
      </c>
      <c r="G521" s="1852" t="s">
        <v>2265</v>
      </c>
      <c r="H521" s="1852" t="s">
        <v>2266</v>
      </c>
      <c r="I521" s="1852" t="s">
        <v>907</v>
      </c>
    </row>
    <row customHeight="1" ht="11.25">
      <c r="A522" s="1852" t="s">
        <v>2246</v>
      </c>
      <c r="B522" s="1852" t="s">
        <v>16</v>
      </c>
      <c r="C522" s="1852" t="s">
        <v>2267</v>
      </c>
      <c r="D522" s="1852" t="s">
        <v>2268</v>
      </c>
      <c r="E522" s="1852" t="s">
        <v>2269</v>
      </c>
      <c r="F522" s="1852" t="s">
        <v>2259</v>
      </c>
      <c r="G522" s="1852" t="s">
        <v>2270</v>
      </c>
      <c r="H522" s="1852" t="s">
        <v>22</v>
      </c>
      <c r="I522" s="1852" t="s">
        <v>907</v>
      </c>
    </row>
    <row customHeight="1" ht="11.25">
      <c r="A523" s="1852" t="s">
        <v>2246</v>
      </c>
      <c r="B523" s="1852" t="s">
        <v>16</v>
      </c>
      <c r="C523" s="1852" t="s">
        <v>2278</v>
      </c>
      <c r="D523" s="1852" t="s">
        <v>2279</v>
      </c>
      <c r="E523" s="1852" t="s">
        <v>2280</v>
      </c>
      <c r="F523" s="1852" t="s">
        <v>2281</v>
      </c>
      <c r="G523" s="1852" t="s">
        <v>2282</v>
      </c>
      <c r="H523" s="1852" t="s">
        <v>22</v>
      </c>
      <c r="I523" s="1852" t="s">
        <v>907</v>
      </c>
    </row>
    <row customHeight="1" ht="11.25">
      <c r="A524" s="1852" t="s">
        <v>2246</v>
      </c>
      <c r="B524" s="1852" t="s">
        <v>16</v>
      </c>
      <c r="C524" s="1852" t="s">
        <v>3163</v>
      </c>
      <c r="D524" s="1852" t="s">
        <v>3164</v>
      </c>
      <c r="E524" s="1852" t="s">
        <v>3165</v>
      </c>
      <c r="F524" s="1852" t="s">
        <v>2609</v>
      </c>
      <c r="G524" s="1852" t="s">
        <v>22</v>
      </c>
      <c r="H524" s="1852" t="s">
        <v>22</v>
      </c>
      <c r="I524" s="1852" t="s">
        <v>907</v>
      </c>
    </row>
    <row customHeight="1" ht="11.25">
      <c r="A525" s="1852" t="s">
        <v>2246</v>
      </c>
      <c r="B525" s="1852" t="s">
        <v>16</v>
      </c>
      <c r="C525" s="1852" t="s">
        <v>2308</v>
      </c>
      <c r="D525" s="1852" t="s">
        <v>2309</v>
      </c>
      <c r="E525" s="1852" t="s">
        <v>2310</v>
      </c>
      <c r="F525" s="1852" t="s">
        <v>2311</v>
      </c>
      <c r="G525" s="1852" t="s">
        <v>22</v>
      </c>
      <c r="H525" s="1852" t="s">
        <v>22</v>
      </c>
      <c r="I525" s="1852" t="s">
        <v>907</v>
      </c>
    </row>
    <row customHeight="1" ht="11.25">
      <c r="A526" s="1852" t="s">
        <v>2246</v>
      </c>
      <c r="B526" s="1852" t="s">
        <v>16</v>
      </c>
      <c r="C526" s="1852" t="s">
        <v>2315</v>
      </c>
      <c r="D526" s="1852" t="s">
        <v>2316</v>
      </c>
      <c r="E526" s="1852" t="s">
        <v>2317</v>
      </c>
      <c r="F526" s="1852" t="s">
        <v>2318</v>
      </c>
      <c r="G526" s="1852" t="s">
        <v>2319</v>
      </c>
      <c r="H526" s="1852" t="s">
        <v>22</v>
      </c>
      <c r="I526" s="1852" t="s">
        <v>907</v>
      </c>
    </row>
    <row customHeight="1" ht="11.25">
      <c r="A527" s="1852" t="s">
        <v>2246</v>
      </c>
      <c r="B527" s="1852" t="s">
        <v>16</v>
      </c>
      <c r="C527" s="1852" t="s">
        <v>2335</v>
      </c>
      <c r="D527" s="1852" t="s">
        <v>2336</v>
      </c>
      <c r="E527" s="1852" t="s">
        <v>2337</v>
      </c>
      <c r="F527" s="1852" t="s">
        <v>2333</v>
      </c>
      <c r="G527" s="1852" t="s">
        <v>22</v>
      </c>
      <c r="H527" s="1852" t="s">
        <v>22</v>
      </c>
      <c r="I527" s="1852" t="s">
        <v>907</v>
      </c>
    </row>
    <row customHeight="1" ht="11.25">
      <c r="A528" s="1852" t="s">
        <v>2246</v>
      </c>
      <c r="B528" s="1852" t="s">
        <v>16</v>
      </c>
      <c r="C528" s="1852" t="s">
        <v>2359</v>
      </c>
      <c r="D528" s="1852" t="s">
        <v>2360</v>
      </c>
      <c r="E528" s="1852" t="s">
        <v>2361</v>
      </c>
      <c r="F528" s="1852" t="s">
        <v>2333</v>
      </c>
      <c r="G528" s="1852" t="s">
        <v>22</v>
      </c>
      <c r="H528" s="1852" t="s">
        <v>22</v>
      </c>
      <c r="I528" s="1852" t="s">
        <v>907</v>
      </c>
    </row>
    <row customHeight="1" ht="11.25">
      <c r="A529" s="1852" t="s">
        <v>2246</v>
      </c>
      <c r="B529" s="1852" t="s">
        <v>16</v>
      </c>
      <c r="C529" s="1852" t="s">
        <v>3170</v>
      </c>
      <c r="D529" s="1852" t="s">
        <v>3171</v>
      </c>
      <c r="E529" s="1852" t="s">
        <v>3172</v>
      </c>
      <c r="F529" s="1852" t="s">
        <v>2592</v>
      </c>
      <c r="G529" s="1852" t="s">
        <v>22</v>
      </c>
      <c r="H529" s="1852" t="s">
        <v>3169</v>
      </c>
      <c r="I529" s="1852" t="s">
        <v>907</v>
      </c>
    </row>
    <row customHeight="1" ht="11.25">
      <c r="A530" s="1852" t="s">
        <v>2246</v>
      </c>
      <c r="B530" s="1852" t="s">
        <v>16</v>
      </c>
      <c r="C530" s="1852" t="s">
        <v>3173</v>
      </c>
      <c r="D530" s="1852" t="s">
        <v>3171</v>
      </c>
      <c r="E530" s="1852" t="s">
        <v>3174</v>
      </c>
      <c r="F530" s="1852" t="s">
        <v>2254</v>
      </c>
      <c r="G530" s="1852" t="s">
        <v>22</v>
      </c>
      <c r="H530" s="1852" t="s">
        <v>22</v>
      </c>
      <c r="I530" s="1852" t="s">
        <v>907</v>
      </c>
    </row>
    <row customHeight="1" ht="11.25">
      <c r="A531" s="1852" t="s">
        <v>2246</v>
      </c>
      <c r="B531" s="1852" t="s">
        <v>16</v>
      </c>
      <c r="C531" s="1852" t="s">
        <v>3175</v>
      </c>
      <c r="D531" s="1852" t="s">
        <v>3176</v>
      </c>
      <c r="E531" s="1852" t="s">
        <v>3177</v>
      </c>
      <c r="F531" s="1852" t="s">
        <v>2333</v>
      </c>
      <c r="G531" s="1852" t="s">
        <v>22</v>
      </c>
      <c r="H531" s="1852" t="s">
        <v>22</v>
      </c>
      <c r="I531" s="1852" t="s">
        <v>907</v>
      </c>
    </row>
    <row customHeight="1" ht="11.25">
      <c r="A532" s="1852" t="s">
        <v>2246</v>
      </c>
      <c r="B532" s="1852" t="s">
        <v>16</v>
      </c>
      <c r="C532" s="1852" t="s">
        <v>2375</v>
      </c>
      <c r="D532" s="1852" t="s">
        <v>2376</v>
      </c>
      <c r="E532" s="1852" t="s">
        <v>2377</v>
      </c>
      <c r="F532" s="1852" t="s">
        <v>2259</v>
      </c>
      <c r="G532" s="1852" t="s">
        <v>22</v>
      </c>
      <c r="H532" s="1852" t="s">
        <v>2255</v>
      </c>
      <c r="I532" s="1852" t="s">
        <v>907</v>
      </c>
    </row>
    <row customHeight="1" ht="11.25">
      <c r="A533" s="1852" t="s">
        <v>2246</v>
      </c>
      <c r="B533" s="1852" t="s">
        <v>16</v>
      </c>
      <c r="C533" s="1852" t="s">
        <v>2426</v>
      </c>
      <c r="D533" s="1852" t="s">
        <v>2427</v>
      </c>
      <c r="E533" s="1852" t="s">
        <v>2417</v>
      </c>
      <c r="F533" s="1852" t="s">
        <v>2428</v>
      </c>
      <c r="G533" s="1852" t="s">
        <v>22</v>
      </c>
      <c r="H533" s="1852" t="s">
        <v>22</v>
      </c>
      <c r="I533" s="1852" t="s">
        <v>907</v>
      </c>
    </row>
    <row customHeight="1" ht="11.25">
      <c r="A534" s="1852" t="s">
        <v>2246</v>
      </c>
      <c r="B534" s="1852" t="s">
        <v>16</v>
      </c>
      <c r="C534" s="1852" t="s">
        <v>22</v>
      </c>
      <c r="D534" s="1852" t="s">
        <v>2440</v>
      </c>
      <c r="E534" s="1852" t="s">
        <v>2441</v>
      </c>
      <c r="F534" s="1852" t="s">
        <v>2274</v>
      </c>
      <c r="G534" s="1852" t="s">
        <v>22</v>
      </c>
      <c r="H534" s="1852" t="s">
        <v>22</v>
      </c>
      <c r="I534" s="1852" t="s">
        <v>907</v>
      </c>
    </row>
    <row customHeight="1" ht="11.25">
      <c r="A535" s="1852" t="s">
        <v>2246</v>
      </c>
      <c r="B535" s="1852" t="s">
        <v>16</v>
      </c>
      <c r="C535" s="1852" t="s">
        <v>3188</v>
      </c>
      <c r="D535" s="1852" t="s">
        <v>3189</v>
      </c>
      <c r="E535" s="1852" t="s">
        <v>3190</v>
      </c>
      <c r="F535" s="1852" t="s">
        <v>2609</v>
      </c>
      <c r="G535" s="1852" t="s">
        <v>22</v>
      </c>
      <c r="H535" s="1852" t="s">
        <v>22</v>
      </c>
      <c r="I535" s="1852" t="s">
        <v>907</v>
      </c>
    </row>
    <row customHeight="1" ht="11.25">
      <c r="A536" s="1852" t="s">
        <v>2246</v>
      </c>
      <c r="B536" s="1852" t="s">
        <v>16</v>
      </c>
      <c r="C536" s="1852" t="s">
        <v>3191</v>
      </c>
      <c r="D536" s="1852" t="s">
        <v>3192</v>
      </c>
      <c r="E536" s="1852" t="s">
        <v>3193</v>
      </c>
      <c r="F536" s="1852" t="s">
        <v>2623</v>
      </c>
      <c r="G536" s="1852" t="s">
        <v>22</v>
      </c>
      <c r="H536" s="1852" t="s">
        <v>22</v>
      </c>
      <c r="I536" s="1852" t="s">
        <v>907</v>
      </c>
    </row>
    <row customHeight="1" ht="11.25">
      <c r="A537" s="1852" t="s">
        <v>2246</v>
      </c>
      <c r="B537" s="1852" t="s">
        <v>16</v>
      </c>
      <c r="C537" s="1852" t="s">
        <v>3194</v>
      </c>
      <c r="D537" s="1852" t="s">
        <v>3195</v>
      </c>
      <c r="E537" s="1852" t="s">
        <v>3196</v>
      </c>
      <c r="F537" s="1852" t="s">
        <v>2534</v>
      </c>
      <c r="G537" s="1852" t="s">
        <v>22</v>
      </c>
      <c r="H537" s="1852" t="s">
        <v>3197</v>
      </c>
      <c r="I537" s="1852" t="s">
        <v>907</v>
      </c>
    </row>
    <row customHeight="1" ht="11.25">
      <c r="A538" s="1852" t="s">
        <v>2246</v>
      </c>
      <c r="B538" s="1852" t="s">
        <v>16</v>
      </c>
      <c r="C538" s="1852" t="s">
        <v>2448</v>
      </c>
      <c r="D538" s="1852" t="s">
        <v>2449</v>
      </c>
      <c r="E538" s="1852" t="s">
        <v>2450</v>
      </c>
      <c r="F538" s="1852" t="s">
        <v>575</v>
      </c>
      <c r="G538" s="1852" t="s">
        <v>2451</v>
      </c>
      <c r="H538" s="1852" t="s">
        <v>22</v>
      </c>
      <c r="I538" s="1852" t="s">
        <v>907</v>
      </c>
    </row>
    <row customHeight="1" ht="11.25">
      <c r="A539" s="1852" t="s">
        <v>2246</v>
      </c>
      <c r="B539" s="1852" t="s">
        <v>16</v>
      </c>
      <c r="C539" s="1852" t="s">
        <v>2455</v>
      </c>
      <c r="D539" s="1852" t="s">
        <v>2456</v>
      </c>
      <c r="E539" s="1852" t="s">
        <v>2457</v>
      </c>
      <c r="F539" s="1852" t="s">
        <v>575</v>
      </c>
      <c r="G539" s="1852" t="s">
        <v>2458</v>
      </c>
      <c r="H539" s="1852" t="s">
        <v>22</v>
      </c>
      <c r="I539" s="1852" t="s">
        <v>907</v>
      </c>
    </row>
    <row customHeight="1" ht="11.25">
      <c r="A540" s="1852" t="s">
        <v>2246</v>
      </c>
      <c r="B540" s="1852" t="s">
        <v>16</v>
      </c>
      <c r="C540" s="1852" t="s">
        <v>3201</v>
      </c>
      <c r="D540" s="1852" t="s">
        <v>3202</v>
      </c>
      <c r="E540" s="1852" t="s">
        <v>3203</v>
      </c>
      <c r="F540" s="1852" t="s">
        <v>2834</v>
      </c>
      <c r="G540" s="1852" t="s">
        <v>22</v>
      </c>
      <c r="H540" s="1852" t="s">
        <v>22</v>
      </c>
      <c r="I540" s="1852" t="s">
        <v>907</v>
      </c>
    </row>
    <row customHeight="1" ht="11.25">
      <c r="A541" s="1852" t="s">
        <v>2246</v>
      </c>
      <c r="B541" s="1852" t="s">
        <v>16</v>
      </c>
      <c r="C541" s="1852" t="s">
        <v>3207</v>
      </c>
      <c r="D541" s="1852" t="s">
        <v>3208</v>
      </c>
      <c r="E541" s="1852" t="s">
        <v>3209</v>
      </c>
      <c r="F541" s="1852" t="s">
        <v>2341</v>
      </c>
      <c r="G541" s="1852" t="s">
        <v>3210</v>
      </c>
      <c r="H541" s="1852" t="s">
        <v>22</v>
      </c>
      <c r="I541" s="1852" t="s">
        <v>907</v>
      </c>
    </row>
    <row customHeight="1" ht="11.25">
      <c r="A542" s="1852" t="s">
        <v>2246</v>
      </c>
      <c r="B542" s="1852" t="s">
        <v>16</v>
      </c>
      <c r="C542" s="1852" t="s">
        <v>2485</v>
      </c>
      <c r="D542" s="1852" t="s">
        <v>2486</v>
      </c>
      <c r="E542" s="1852" t="s">
        <v>2487</v>
      </c>
      <c r="F542" s="1852" t="s">
        <v>2369</v>
      </c>
      <c r="G542" s="1852" t="s">
        <v>22</v>
      </c>
      <c r="H542" s="1852" t="s">
        <v>2407</v>
      </c>
      <c r="I542" s="1852" t="s">
        <v>907</v>
      </c>
    </row>
    <row customHeight="1" ht="11.25">
      <c r="A543" s="1852" t="s">
        <v>2246</v>
      </c>
      <c r="B543" s="1852" t="s">
        <v>16</v>
      </c>
      <c r="C543" s="1852" t="s">
        <v>3211</v>
      </c>
      <c r="D543" s="1852" t="s">
        <v>3212</v>
      </c>
      <c r="E543" s="1852" t="s">
        <v>3213</v>
      </c>
      <c r="F543" s="1852" t="s">
        <v>2365</v>
      </c>
      <c r="G543" s="1852" t="s">
        <v>22</v>
      </c>
      <c r="H543" s="1852" t="s">
        <v>22</v>
      </c>
      <c r="I543" s="1852" t="s">
        <v>907</v>
      </c>
    </row>
    <row customHeight="1" ht="11.25">
      <c r="A544" s="1852" t="s">
        <v>2246</v>
      </c>
      <c r="B544" s="1852" t="s">
        <v>16</v>
      </c>
      <c r="C544" s="1852" t="s">
        <v>3214</v>
      </c>
      <c r="D544" s="1852" t="s">
        <v>3215</v>
      </c>
      <c r="E544" s="1852" t="s">
        <v>3216</v>
      </c>
      <c r="F544" s="1852" t="s">
        <v>2759</v>
      </c>
      <c r="G544" s="1852" t="s">
        <v>22</v>
      </c>
      <c r="H544" s="1852" t="s">
        <v>22</v>
      </c>
      <c r="I544" s="1852" t="s">
        <v>907</v>
      </c>
    </row>
    <row customHeight="1" ht="11.25">
      <c r="A545" s="1852" t="s">
        <v>2246</v>
      </c>
      <c r="B545" s="1852" t="s">
        <v>16</v>
      </c>
      <c r="C545" s="1852" t="s">
        <v>3217</v>
      </c>
      <c r="D545" s="1852" t="s">
        <v>3218</v>
      </c>
      <c r="E545" s="1852" t="s">
        <v>3219</v>
      </c>
      <c r="F545" s="1852" t="s">
        <v>2477</v>
      </c>
      <c r="G545" s="1852" t="s">
        <v>22</v>
      </c>
      <c r="H545" s="1852" t="s">
        <v>22</v>
      </c>
      <c r="I545" s="1852" t="s">
        <v>907</v>
      </c>
    </row>
    <row customHeight="1" ht="11.25">
      <c r="A546" s="1852" t="s">
        <v>2246</v>
      </c>
      <c r="B546" s="1852" t="s">
        <v>16</v>
      </c>
      <c r="C546" s="1852" t="s">
        <v>2505</v>
      </c>
      <c r="D546" s="1852" t="s">
        <v>2506</v>
      </c>
      <c r="E546" s="1852" t="s">
        <v>2507</v>
      </c>
      <c r="F546" s="1852" t="s">
        <v>2341</v>
      </c>
      <c r="G546" s="1852" t="s">
        <v>22</v>
      </c>
      <c r="H546" s="1852" t="s">
        <v>22</v>
      </c>
      <c r="I546" s="1852" t="s">
        <v>907</v>
      </c>
    </row>
    <row customHeight="1" ht="11.25">
      <c r="A547" s="1852" t="s">
        <v>2246</v>
      </c>
      <c r="B547" s="1852" t="s">
        <v>16</v>
      </c>
      <c r="C547" s="1852" t="s">
        <v>2508</v>
      </c>
      <c r="D547" s="1852" t="s">
        <v>2509</v>
      </c>
      <c r="E547" s="1852" t="s">
        <v>2510</v>
      </c>
      <c r="F547" s="1852" t="s">
        <v>2250</v>
      </c>
      <c r="G547" s="1852" t="s">
        <v>2511</v>
      </c>
      <c r="H547" s="1852" t="s">
        <v>22</v>
      </c>
      <c r="I547" s="1852" t="s">
        <v>907</v>
      </c>
    </row>
    <row customHeight="1" ht="11.25">
      <c r="A548" s="1852" t="s">
        <v>2246</v>
      </c>
      <c r="B548" s="1852" t="s">
        <v>16</v>
      </c>
      <c r="C548" s="1852" t="s">
        <v>2512</v>
      </c>
      <c r="D548" s="1852" t="s">
        <v>2513</v>
      </c>
      <c r="E548" s="1852" t="s">
        <v>2514</v>
      </c>
      <c r="F548" s="1852" t="s">
        <v>2515</v>
      </c>
      <c r="G548" s="1852" t="s">
        <v>2516</v>
      </c>
      <c r="H548" s="1852" t="s">
        <v>22</v>
      </c>
      <c r="I548" s="1852" t="s">
        <v>907</v>
      </c>
    </row>
    <row customHeight="1" ht="11.25">
      <c r="A549" s="1852" t="s">
        <v>2246</v>
      </c>
      <c r="B549" s="1852" t="s">
        <v>16</v>
      </c>
      <c r="C549" s="1852" t="s">
        <v>2517</v>
      </c>
      <c r="D549" s="1852" t="s">
        <v>2518</v>
      </c>
      <c r="E549" s="1852" t="s">
        <v>2519</v>
      </c>
      <c r="F549" s="1852" t="s">
        <v>2341</v>
      </c>
      <c r="G549" s="1852" t="s">
        <v>2520</v>
      </c>
      <c r="H549" s="1852" t="s">
        <v>22</v>
      </c>
      <c r="I549" s="1852" t="s">
        <v>907</v>
      </c>
    </row>
    <row customHeight="1" ht="11.25">
      <c r="A550" s="1852" t="s">
        <v>2246</v>
      </c>
      <c r="B550" s="1852" t="s">
        <v>16</v>
      </c>
      <c r="C550" s="1852" t="s">
        <v>3367</v>
      </c>
      <c r="D550" s="1852" t="s">
        <v>3368</v>
      </c>
      <c r="E550" s="1852" t="s">
        <v>3369</v>
      </c>
      <c r="F550" s="1852" t="s">
        <v>2524</v>
      </c>
      <c r="G550" s="1852" t="s">
        <v>22</v>
      </c>
      <c r="H550" s="1852" t="s">
        <v>22</v>
      </c>
      <c r="I550" s="1852" t="s">
        <v>907</v>
      </c>
    </row>
    <row customHeight="1" ht="11.25">
      <c r="A551" s="1852" t="s">
        <v>2246</v>
      </c>
      <c r="B551" s="1852" t="s">
        <v>16</v>
      </c>
      <c r="C551" s="1852" t="s">
        <v>3223</v>
      </c>
      <c r="D551" s="1852" t="s">
        <v>3224</v>
      </c>
      <c r="E551" s="1852" t="s">
        <v>3225</v>
      </c>
      <c r="F551" s="1852" t="s">
        <v>2341</v>
      </c>
      <c r="G551" s="1852" t="s">
        <v>22</v>
      </c>
      <c r="H551" s="1852" t="s">
        <v>22</v>
      </c>
      <c r="I551" s="1852" t="s">
        <v>907</v>
      </c>
    </row>
    <row customHeight="1" ht="11.25">
      <c r="A552" s="1852" t="s">
        <v>2246</v>
      </c>
      <c r="B552" s="1852" t="s">
        <v>16</v>
      </c>
      <c r="C552" s="1852" t="s">
        <v>2531</v>
      </c>
      <c r="D552" s="1852" t="s">
        <v>2532</v>
      </c>
      <c r="E552" s="1852" t="s">
        <v>2533</v>
      </c>
      <c r="F552" s="1852" t="s">
        <v>2534</v>
      </c>
      <c r="G552" s="1852" t="s">
        <v>22</v>
      </c>
      <c r="H552" s="1852" t="s">
        <v>22</v>
      </c>
      <c r="I552" s="1852" t="s">
        <v>907</v>
      </c>
    </row>
    <row customHeight="1" ht="11.25">
      <c r="A553" s="1852" t="s">
        <v>2246</v>
      </c>
      <c r="B553" s="1852" t="s">
        <v>16</v>
      </c>
      <c r="C553" s="1852" t="s">
        <v>2543</v>
      </c>
      <c r="D553" s="1852" t="s">
        <v>2544</v>
      </c>
      <c r="E553" s="1852" t="s">
        <v>2545</v>
      </c>
      <c r="F553" s="1852" t="s">
        <v>2546</v>
      </c>
      <c r="G553" s="1852" t="s">
        <v>22</v>
      </c>
      <c r="H553" s="1852" t="s">
        <v>22</v>
      </c>
      <c r="I553" s="1852" t="s">
        <v>907</v>
      </c>
    </row>
    <row customHeight="1" ht="11.25">
      <c r="A554" s="1852" t="s">
        <v>2246</v>
      </c>
      <c r="B554" s="1852" t="s">
        <v>16</v>
      </c>
      <c r="C554" s="1852" t="s">
        <v>2547</v>
      </c>
      <c r="D554" s="1852" t="s">
        <v>2548</v>
      </c>
      <c r="E554" s="1852" t="s">
        <v>2549</v>
      </c>
      <c r="F554" s="1852" t="s">
        <v>2392</v>
      </c>
      <c r="G554" s="1852" t="s">
        <v>22</v>
      </c>
      <c r="H554" s="1852" t="s">
        <v>2550</v>
      </c>
      <c r="I554" s="1852" t="s">
        <v>907</v>
      </c>
    </row>
    <row customHeight="1" ht="11.25">
      <c r="A555" s="1852" t="s">
        <v>2246</v>
      </c>
      <c r="B555" s="1852" t="s">
        <v>16</v>
      </c>
      <c r="C555" s="1852" t="s">
        <v>3231</v>
      </c>
      <c r="D555" s="1852" t="s">
        <v>3232</v>
      </c>
      <c r="E555" s="1852" t="s">
        <v>3233</v>
      </c>
      <c r="F555" s="1852" t="s">
        <v>2250</v>
      </c>
      <c r="G555" s="1852" t="s">
        <v>22</v>
      </c>
      <c r="H555" s="1852" t="s">
        <v>22</v>
      </c>
      <c r="I555" s="1852" t="s">
        <v>907</v>
      </c>
    </row>
    <row customHeight="1" ht="11.25">
      <c r="A556" s="1852" t="s">
        <v>2246</v>
      </c>
      <c r="B556" s="1852" t="s">
        <v>16</v>
      </c>
      <c r="C556" s="1852" t="s">
        <v>3234</v>
      </c>
      <c r="D556" s="1852" t="s">
        <v>3235</v>
      </c>
      <c r="E556" s="1852" t="s">
        <v>3236</v>
      </c>
      <c r="F556" s="1852" t="s">
        <v>2541</v>
      </c>
      <c r="G556" s="1852" t="s">
        <v>22</v>
      </c>
      <c r="H556" s="1852" t="s">
        <v>22</v>
      </c>
      <c r="I556" s="1852" t="s">
        <v>907</v>
      </c>
    </row>
    <row customHeight="1" ht="11.25">
      <c r="A557" s="1852" t="s">
        <v>2246</v>
      </c>
      <c r="B557" s="1852" t="s">
        <v>16</v>
      </c>
      <c r="C557" s="1852" t="s">
        <v>3237</v>
      </c>
      <c r="D557" s="1852" t="s">
        <v>3235</v>
      </c>
      <c r="E557" s="1852" t="s">
        <v>3238</v>
      </c>
      <c r="F557" s="1852" t="s">
        <v>2534</v>
      </c>
      <c r="G557" s="1852" t="s">
        <v>22</v>
      </c>
      <c r="H557" s="1852" t="s">
        <v>22</v>
      </c>
      <c r="I557" s="1852" t="s">
        <v>907</v>
      </c>
    </row>
    <row customHeight="1" ht="11.25">
      <c r="A558" s="1852" t="s">
        <v>2246</v>
      </c>
      <c r="B558" s="1852" t="s">
        <v>16</v>
      </c>
      <c r="C558" s="1852" t="s">
        <v>3239</v>
      </c>
      <c r="D558" s="1852" t="s">
        <v>3240</v>
      </c>
      <c r="E558" s="1852" t="s">
        <v>3241</v>
      </c>
      <c r="F558" s="1852" t="s">
        <v>2392</v>
      </c>
      <c r="G558" s="1852" t="s">
        <v>22</v>
      </c>
      <c r="H558" s="1852" t="s">
        <v>22</v>
      </c>
      <c r="I558" s="1852" t="s">
        <v>907</v>
      </c>
    </row>
    <row customHeight="1" ht="11.25">
      <c r="A559" s="1852" t="s">
        <v>2246</v>
      </c>
      <c r="B559" s="1852" t="s">
        <v>16</v>
      </c>
      <c r="C559" s="1852" t="s">
        <v>2551</v>
      </c>
      <c r="D559" s="1852" t="s">
        <v>2552</v>
      </c>
      <c r="E559" s="1852" t="s">
        <v>2553</v>
      </c>
      <c r="F559" s="1852" t="s">
        <v>2554</v>
      </c>
      <c r="G559" s="1852" t="s">
        <v>22</v>
      </c>
      <c r="H559" s="1852" t="s">
        <v>22</v>
      </c>
      <c r="I559" s="1852" t="s">
        <v>907</v>
      </c>
    </row>
    <row customHeight="1" ht="11.25">
      <c r="A560" s="1852" t="s">
        <v>2246</v>
      </c>
      <c r="B560" s="1852" t="s">
        <v>16</v>
      </c>
      <c r="C560" s="1852" t="s">
        <v>2555</v>
      </c>
      <c r="D560" s="1852" t="s">
        <v>2556</v>
      </c>
      <c r="E560" s="1852" t="s">
        <v>2557</v>
      </c>
      <c r="F560" s="1852" t="s">
        <v>2554</v>
      </c>
      <c r="G560" s="1852" t="s">
        <v>22</v>
      </c>
      <c r="H560" s="1852" t="s">
        <v>22</v>
      </c>
      <c r="I560" s="1852" t="s">
        <v>907</v>
      </c>
    </row>
    <row customHeight="1" ht="11.25">
      <c r="A561" s="1852" t="s">
        <v>2246</v>
      </c>
      <c r="B561" s="1852" t="s">
        <v>16</v>
      </c>
      <c r="C561" s="1852" t="s">
        <v>2558</v>
      </c>
      <c r="D561" s="1852" t="s">
        <v>2559</v>
      </c>
      <c r="E561" s="1852" t="s">
        <v>2560</v>
      </c>
      <c r="F561" s="1852" t="s">
        <v>2351</v>
      </c>
      <c r="G561" s="1852" t="s">
        <v>22</v>
      </c>
      <c r="H561" s="1852" t="s">
        <v>2561</v>
      </c>
      <c r="I561" s="1852" t="s">
        <v>907</v>
      </c>
    </row>
    <row customHeight="1" ht="11.25">
      <c r="A562" s="1852" t="s">
        <v>2246</v>
      </c>
      <c r="B562" s="1852" t="s">
        <v>16</v>
      </c>
      <c r="C562" s="1852" t="s">
        <v>2566</v>
      </c>
      <c r="D562" s="1852" t="s">
        <v>2567</v>
      </c>
      <c r="E562" s="1852" t="s">
        <v>2568</v>
      </c>
      <c r="F562" s="1852" t="s">
        <v>2554</v>
      </c>
      <c r="G562" s="1852" t="s">
        <v>22</v>
      </c>
      <c r="H562" s="1852" t="s">
        <v>22</v>
      </c>
      <c r="I562" s="1852" t="s">
        <v>907</v>
      </c>
    </row>
    <row customHeight="1" ht="11.25">
      <c r="A563" s="1852" t="s">
        <v>2246</v>
      </c>
      <c r="B563" s="1852" t="s">
        <v>16</v>
      </c>
      <c r="C563" s="1852" t="s">
        <v>2573</v>
      </c>
      <c r="D563" s="1852" t="s">
        <v>2574</v>
      </c>
      <c r="E563" s="1852" t="s">
        <v>2575</v>
      </c>
      <c r="F563" s="1852" t="s">
        <v>2365</v>
      </c>
      <c r="G563" s="1852" t="s">
        <v>2576</v>
      </c>
      <c r="H563" s="1852" t="s">
        <v>22</v>
      </c>
      <c r="I563" s="1852" t="s">
        <v>907</v>
      </c>
    </row>
    <row customHeight="1" ht="11.25">
      <c r="A564" s="1852" t="s">
        <v>2246</v>
      </c>
      <c r="B564" s="1852" t="s">
        <v>16</v>
      </c>
      <c r="C564" s="1852" t="s">
        <v>3242</v>
      </c>
      <c r="D564" s="1852" t="s">
        <v>3243</v>
      </c>
      <c r="E564" s="1852" t="s">
        <v>3244</v>
      </c>
      <c r="F564" s="1852" t="s">
        <v>2259</v>
      </c>
      <c r="G564" s="1852" t="s">
        <v>3245</v>
      </c>
      <c r="H564" s="1852" t="s">
        <v>22</v>
      </c>
      <c r="I564" s="1852" t="s">
        <v>907</v>
      </c>
    </row>
    <row customHeight="1" ht="11.25">
      <c r="A565" s="1852" t="s">
        <v>2246</v>
      </c>
      <c r="B565" s="1852" t="s">
        <v>16</v>
      </c>
      <c r="C565" s="1852" t="s">
        <v>2577</v>
      </c>
      <c r="D565" s="1852" t="s">
        <v>2578</v>
      </c>
      <c r="E565" s="1852" t="s">
        <v>2579</v>
      </c>
      <c r="F565" s="1852" t="s">
        <v>2333</v>
      </c>
      <c r="G565" s="1852" t="s">
        <v>2580</v>
      </c>
      <c r="H565" s="1852" t="s">
        <v>22</v>
      </c>
      <c r="I565" s="1852" t="s">
        <v>907</v>
      </c>
    </row>
    <row customHeight="1" ht="11.25">
      <c r="A566" s="1852" t="s">
        <v>2246</v>
      </c>
      <c r="B566" s="1852" t="s">
        <v>16</v>
      </c>
      <c r="C566" s="1852" t="s">
        <v>2581</v>
      </c>
      <c r="D566" s="1852" t="s">
        <v>2582</v>
      </c>
      <c r="E566" s="1852" t="s">
        <v>2583</v>
      </c>
      <c r="F566" s="1852" t="s">
        <v>2365</v>
      </c>
      <c r="G566" s="1852" t="s">
        <v>2584</v>
      </c>
      <c r="H566" s="1852" t="s">
        <v>22</v>
      </c>
      <c r="I566" s="1852" t="s">
        <v>907</v>
      </c>
    </row>
    <row customHeight="1" ht="11.25">
      <c r="A567" s="1852" t="s">
        <v>2246</v>
      </c>
      <c r="B567" s="1852" t="s">
        <v>16</v>
      </c>
      <c r="C567" s="1852" t="s">
        <v>2585</v>
      </c>
      <c r="D567" s="1852" t="s">
        <v>2586</v>
      </c>
      <c r="E567" s="1852" t="s">
        <v>2587</v>
      </c>
      <c r="F567" s="1852" t="s">
        <v>2588</v>
      </c>
      <c r="G567" s="1852" t="s">
        <v>22</v>
      </c>
      <c r="H567" s="1852" t="s">
        <v>22</v>
      </c>
      <c r="I567" s="1852" t="s">
        <v>907</v>
      </c>
    </row>
    <row customHeight="1" ht="11.25">
      <c r="A568" s="1852" t="s">
        <v>2246</v>
      </c>
      <c r="B568" s="1852" t="s">
        <v>16</v>
      </c>
      <c r="C568" s="1852" t="s">
        <v>3246</v>
      </c>
      <c r="D568" s="1852" t="s">
        <v>3247</v>
      </c>
      <c r="E568" s="1852" t="s">
        <v>3248</v>
      </c>
      <c r="F568" s="1852" t="s">
        <v>2546</v>
      </c>
      <c r="G568" s="1852" t="s">
        <v>3249</v>
      </c>
      <c r="H568" s="1852" t="s">
        <v>2550</v>
      </c>
      <c r="I568" s="1852" t="s">
        <v>907</v>
      </c>
    </row>
    <row customHeight="1" ht="11.25">
      <c r="A569" s="1852" t="s">
        <v>2246</v>
      </c>
      <c r="B569" s="1852" t="s">
        <v>16</v>
      </c>
      <c r="C569" s="1852" t="s">
        <v>2593</v>
      </c>
      <c r="D569" s="1852" t="s">
        <v>2594</v>
      </c>
      <c r="E569" s="1852" t="s">
        <v>2595</v>
      </c>
      <c r="F569" s="1852" t="s">
        <v>2365</v>
      </c>
      <c r="G569" s="1852" t="s">
        <v>2596</v>
      </c>
      <c r="H569" s="1852" t="s">
        <v>22</v>
      </c>
      <c r="I569" s="1852" t="s">
        <v>907</v>
      </c>
    </row>
    <row customHeight="1" ht="11.25">
      <c r="A570" s="1852" t="s">
        <v>2246</v>
      </c>
      <c r="B570" s="1852" t="s">
        <v>16</v>
      </c>
      <c r="C570" s="1852" t="s">
        <v>3370</v>
      </c>
      <c r="D570" s="1852" t="s">
        <v>2598</v>
      </c>
      <c r="E570" s="1852" t="s">
        <v>3371</v>
      </c>
      <c r="F570" s="1852" t="s">
        <v>2546</v>
      </c>
      <c r="G570" s="1852" t="s">
        <v>22</v>
      </c>
      <c r="H570" s="1852" t="s">
        <v>3372</v>
      </c>
      <c r="I570" s="1852" t="s">
        <v>907</v>
      </c>
    </row>
    <row customHeight="1" ht="11.25">
      <c r="A571" s="1852" t="s">
        <v>2246</v>
      </c>
      <c r="B571" s="1852" t="s">
        <v>16</v>
      </c>
      <c r="C571" s="1852" t="s">
        <v>2615</v>
      </c>
      <c r="D571" s="1852" t="s">
        <v>2616</v>
      </c>
      <c r="E571" s="1852" t="s">
        <v>2617</v>
      </c>
      <c r="F571" s="1852" t="s">
        <v>2618</v>
      </c>
      <c r="G571" s="1852" t="s">
        <v>2619</v>
      </c>
      <c r="H571" s="1852" t="s">
        <v>22</v>
      </c>
      <c r="I571" s="1852" t="s">
        <v>907</v>
      </c>
    </row>
    <row customHeight="1" ht="11.25">
      <c r="A572" s="1852" t="s">
        <v>2246</v>
      </c>
      <c r="B572" s="1852" t="s">
        <v>16</v>
      </c>
      <c r="C572" s="1852" t="s">
        <v>2620</v>
      </c>
      <c r="D572" s="1852" t="s">
        <v>2621</v>
      </c>
      <c r="E572" s="1852" t="s">
        <v>2622</v>
      </c>
      <c r="F572" s="1852" t="s">
        <v>2623</v>
      </c>
      <c r="G572" s="1852" t="s">
        <v>22</v>
      </c>
      <c r="H572" s="1852" t="s">
        <v>22</v>
      </c>
      <c r="I572" s="1852" t="s">
        <v>907</v>
      </c>
    </row>
    <row customHeight="1" ht="11.25">
      <c r="A573" s="1852" t="s">
        <v>2246</v>
      </c>
      <c r="B573" s="1852" t="s">
        <v>16</v>
      </c>
      <c r="C573" s="1852" t="s">
        <v>3254</v>
      </c>
      <c r="D573" s="1852" t="s">
        <v>3255</v>
      </c>
      <c r="E573" s="1852" t="s">
        <v>3256</v>
      </c>
      <c r="F573" s="1852" t="s">
        <v>2554</v>
      </c>
      <c r="G573" s="1852" t="s">
        <v>22</v>
      </c>
      <c r="H573" s="1852" t="s">
        <v>22</v>
      </c>
      <c r="I573" s="1852" t="s">
        <v>907</v>
      </c>
    </row>
    <row customHeight="1" ht="11.25">
      <c r="A574" s="1852" t="s">
        <v>2246</v>
      </c>
      <c r="B574" s="1852" t="s">
        <v>16</v>
      </c>
      <c r="C574" s="1852" t="s">
        <v>2624</v>
      </c>
      <c r="D574" s="1852" t="s">
        <v>2625</v>
      </c>
      <c r="E574" s="1852" t="s">
        <v>2626</v>
      </c>
      <c r="F574" s="1852" t="s">
        <v>2618</v>
      </c>
      <c r="G574" s="1852" t="s">
        <v>2627</v>
      </c>
      <c r="H574" s="1852" t="s">
        <v>2628</v>
      </c>
      <c r="I574" s="1852" t="s">
        <v>907</v>
      </c>
    </row>
    <row customHeight="1" ht="11.25">
      <c r="A575" s="1852" t="s">
        <v>2246</v>
      </c>
      <c r="B575" s="1852" t="s">
        <v>16</v>
      </c>
      <c r="C575" s="1852" t="s">
        <v>2629</v>
      </c>
      <c r="D575" s="1852" t="s">
        <v>2630</v>
      </c>
      <c r="E575" s="1852" t="s">
        <v>2631</v>
      </c>
      <c r="F575" s="1852" t="s">
        <v>2623</v>
      </c>
      <c r="G575" s="1852" t="s">
        <v>2632</v>
      </c>
      <c r="H575" s="1852" t="s">
        <v>22</v>
      </c>
      <c r="I575" s="1852" t="s">
        <v>907</v>
      </c>
    </row>
    <row customHeight="1" ht="11.25">
      <c r="A576" s="1852" t="s">
        <v>2246</v>
      </c>
      <c r="B576" s="1852" t="s">
        <v>16</v>
      </c>
      <c r="C576" s="1852" t="s">
        <v>2633</v>
      </c>
      <c r="D576" s="1852" t="s">
        <v>2634</v>
      </c>
      <c r="E576" s="1852" t="s">
        <v>2635</v>
      </c>
      <c r="F576" s="1852" t="s">
        <v>2373</v>
      </c>
      <c r="G576" s="1852" t="s">
        <v>22</v>
      </c>
      <c r="H576" s="1852" t="s">
        <v>22</v>
      </c>
      <c r="I576" s="1852" t="s">
        <v>907</v>
      </c>
    </row>
    <row customHeight="1" ht="11.25">
      <c r="A577" s="1852" t="s">
        <v>2246</v>
      </c>
      <c r="B577" s="1852" t="s">
        <v>16</v>
      </c>
      <c r="C577" s="1852" t="s">
        <v>2639</v>
      </c>
      <c r="D577" s="1852" t="s">
        <v>2640</v>
      </c>
      <c r="E577" s="1852" t="s">
        <v>2641</v>
      </c>
      <c r="F577" s="1852" t="s">
        <v>2554</v>
      </c>
      <c r="G577" s="1852" t="s">
        <v>2642</v>
      </c>
      <c r="H577" s="1852" t="s">
        <v>2643</v>
      </c>
      <c r="I577" s="1852" t="s">
        <v>907</v>
      </c>
    </row>
    <row customHeight="1" ht="11.25">
      <c r="A578" s="1852" t="s">
        <v>2246</v>
      </c>
      <c r="B578" s="1852" t="s">
        <v>16</v>
      </c>
      <c r="C578" s="1852" t="s">
        <v>2644</v>
      </c>
      <c r="D578" s="1852" t="s">
        <v>2645</v>
      </c>
      <c r="E578" s="1852" t="s">
        <v>2646</v>
      </c>
      <c r="F578" s="1852" t="s">
        <v>2554</v>
      </c>
      <c r="G578" s="1852" t="s">
        <v>2647</v>
      </c>
      <c r="H578" s="1852" t="s">
        <v>22</v>
      </c>
      <c r="I578" s="1852" t="s">
        <v>907</v>
      </c>
    </row>
    <row customHeight="1" ht="11.25">
      <c r="A579" s="1852" t="s">
        <v>2246</v>
      </c>
      <c r="B579" s="1852" t="s">
        <v>16</v>
      </c>
      <c r="C579" s="1852" t="s">
        <v>3257</v>
      </c>
      <c r="D579" s="1852" t="s">
        <v>3258</v>
      </c>
      <c r="E579" s="1852" t="s">
        <v>3259</v>
      </c>
      <c r="F579" s="1852" t="s">
        <v>2613</v>
      </c>
      <c r="G579" s="1852" t="s">
        <v>3260</v>
      </c>
      <c r="H579" s="1852" t="s">
        <v>22</v>
      </c>
      <c r="I579" s="1852" t="s">
        <v>907</v>
      </c>
    </row>
    <row customHeight="1" ht="11.25">
      <c r="A580" s="1852" t="s">
        <v>2246</v>
      </c>
      <c r="B580" s="1852" t="s">
        <v>16</v>
      </c>
      <c r="C580" s="1852" t="s">
        <v>2648</v>
      </c>
      <c r="D580" s="1852" t="s">
        <v>2649</v>
      </c>
      <c r="E580" s="1852" t="s">
        <v>2650</v>
      </c>
      <c r="F580" s="1852" t="s">
        <v>2618</v>
      </c>
      <c r="G580" s="1852" t="s">
        <v>2651</v>
      </c>
      <c r="H580" s="1852" t="s">
        <v>22</v>
      </c>
      <c r="I580" s="1852" t="s">
        <v>907</v>
      </c>
    </row>
    <row customHeight="1" ht="11.25">
      <c r="A581" s="1852" t="s">
        <v>2246</v>
      </c>
      <c r="B581" s="1852" t="s">
        <v>16</v>
      </c>
      <c r="C581" s="1852" t="s">
        <v>3261</v>
      </c>
      <c r="D581" s="1852" t="s">
        <v>3262</v>
      </c>
      <c r="E581" s="1852" t="s">
        <v>3263</v>
      </c>
      <c r="F581" s="1852" t="s">
        <v>2274</v>
      </c>
      <c r="G581" s="1852" t="s">
        <v>22</v>
      </c>
      <c r="H581" s="1852" t="s">
        <v>22</v>
      </c>
      <c r="I581" s="1852" t="s">
        <v>907</v>
      </c>
    </row>
    <row customHeight="1" ht="11.25">
      <c r="A582" s="1852" t="s">
        <v>2246</v>
      </c>
      <c r="B582" s="1852" t="s">
        <v>16</v>
      </c>
      <c r="C582" s="1852" t="s">
        <v>2656</v>
      </c>
      <c r="D582" s="1852" t="s">
        <v>2657</v>
      </c>
      <c r="E582" s="1852" t="s">
        <v>2658</v>
      </c>
      <c r="F582" s="1852" t="s">
        <v>2318</v>
      </c>
      <c r="G582" s="1852" t="s">
        <v>22</v>
      </c>
      <c r="H582" s="1852" t="s">
        <v>22</v>
      </c>
      <c r="I582" s="1852" t="s">
        <v>907</v>
      </c>
    </row>
    <row customHeight="1" ht="11.25">
      <c r="A583" s="1852" t="s">
        <v>2246</v>
      </c>
      <c r="B583" s="1852" t="s">
        <v>16</v>
      </c>
      <c r="C583" s="1852" t="s">
        <v>2659</v>
      </c>
      <c r="D583" s="1852" t="s">
        <v>2660</v>
      </c>
      <c r="E583" s="1852" t="s">
        <v>2661</v>
      </c>
      <c r="F583" s="1852" t="s">
        <v>2333</v>
      </c>
      <c r="G583" s="1852" t="s">
        <v>22</v>
      </c>
      <c r="H583" s="1852" t="s">
        <v>22</v>
      </c>
      <c r="I583" s="1852" t="s">
        <v>907</v>
      </c>
    </row>
    <row customHeight="1" ht="11.25">
      <c r="A584" s="1852" t="s">
        <v>2246</v>
      </c>
      <c r="B584" s="1852" t="s">
        <v>16</v>
      </c>
      <c r="C584" s="1852" t="s">
        <v>2662</v>
      </c>
      <c r="D584" s="1852" t="s">
        <v>2663</v>
      </c>
      <c r="E584" s="1852" t="s">
        <v>2664</v>
      </c>
      <c r="F584" s="1852" t="s">
        <v>2318</v>
      </c>
      <c r="G584" s="1852" t="s">
        <v>2665</v>
      </c>
      <c r="H584" s="1852" t="s">
        <v>22</v>
      </c>
      <c r="I584" s="1852" t="s">
        <v>907</v>
      </c>
    </row>
    <row customHeight="1" ht="11.25">
      <c r="A585" s="1852" t="s">
        <v>2246</v>
      </c>
      <c r="B585" s="1852" t="s">
        <v>16</v>
      </c>
      <c r="C585" s="1852" t="s">
        <v>2666</v>
      </c>
      <c r="D585" s="1852" t="s">
        <v>2667</v>
      </c>
      <c r="E585" s="1852" t="s">
        <v>2668</v>
      </c>
      <c r="F585" s="1852" t="s">
        <v>2669</v>
      </c>
      <c r="G585" s="1852" t="s">
        <v>2670</v>
      </c>
      <c r="H585" s="1852" t="s">
        <v>22</v>
      </c>
      <c r="I585" s="1852" t="s">
        <v>907</v>
      </c>
    </row>
    <row customHeight="1" ht="11.25">
      <c r="A586" s="1852" t="s">
        <v>2246</v>
      </c>
      <c r="B586" s="1852" t="s">
        <v>16</v>
      </c>
      <c r="C586" s="1852" t="s">
        <v>2671</v>
      </c>
      <c r="D586" s="1852" t="s">
        <v>2672</v>
      </c>
      <c r="E586" s="1852" t="s">
        <v>2673</v>
      </c>
      <c r="F586" s="1852" t="s">
        <v>2588</v>
      </c>
      <c r="G586" s="1852" t="s">
        <v>22</v>
      </c>
      <c r="H586" s="1852" t="s">
        <v>22</v>
      </c>
      <c r="I586" s="1852" t="s">
        <v>907</v>
      </c>
    </row>
    <row customHeight="1" ht="11.25">
      <c r="A587" s="1852" t="s">
        <v>2246</v>
      </c>
      <c r="B587" s="1852" t="s">
        <v>16</v>
      </c>
      <c r="C587" s="1852" t="s">
        <v>3264</v>
      </c>
      <c r="D587" s="1852" t="s">
        <v>3265</v>
      </c>
      <c r="E587" s="1852" t="s">
        <v>3266</v>
      </c>
      <c r="F587" s="1852" t="s">
        <v>2326</v>
      </c>
      <c r="G587" s="1852" t="s">
        <v>22</v>
      </c>
      <c r="H587" s="1852" t="s">
        <v>22</v>
      </c>
      <c r="I587" s="1852" t="s">
        <v>907</v>
      </c>
    </row>
    <row customHeight="1" ht="11.25">
      <c r="A588" s="1852" t="s">
        <v>2246</v>
      </c>
      <c r="B588" s="1852" t="s">
        <v>16</v>
      </c>
      <c r="C588" s="1852" t="s">
        <v>2674</v>
      </c>
      <c r="D588" s="1852" t="s">
        <v>2675</v>
      </c>
      <c r="E588" s="1852" t="s">
        <v>2676</v>
      </c>
      <c r="F588" s="1852" t="s">
        <v>2318</v>
      </c>
      <c r="G588" s="1852" t="s">
        <v>22</v>
      </c>
      <c r="H588" s="1852" t="s">
        <v>22</v>
      </c>
      <c r="I588" s="1852" t="s">
        <v>907</v>
      </c>
    </row>
    <row customHeight="1" ht="11.25">
      <c r="A589" s="1852" t="s">
        <v>2246</v>
      </c>
      <c r="B589" s="1852" t="s">
        <v>16</v>
      </c>
      <c r="C589" s="1852" t="s">
        <v>2677</v>
      </c>
      <c r="D589" s="1852" t="s">
        <v>2678</v>
      </c>
      <c r="E589" s="1852" t="s">
        <v>2679</v>
      </c>
      <c r="F589" s="1852" t="s">
        <v>2534</v>
      </c>
      <c r="G589" s="1852" t="s">
        <v>22</v>
      </c>
      <c r="H589" s="1852" t="s">
        <v>22</v>
      </c>
      <c r="I589" s="1852" t="s">
        <v>907</v>
      </c>
    </row>
    <row customHeight="1" ht="11.25">
      <c r="A590" s="1852" t="s">
        <v>2246</v>
      </c>
      <c r="B590" s="1852" t="s">
        <v>16</v>
      </c>
      <c r="C590" s="1852" t="s">
        <v>2680</v>
      </c>
      <c r="D590" s="1852" t="s">
        <v>2678</v>
      </c>
      <c r="E590" s="1852" t="s">
        <v>2679</v>
      </c>
      <c r="F590" s="1852" t="s">
        <v>2609</v>
      </c>
      <c r="G590" s="1852" t="s">
        <v>22</v>
      </c>
      <c r="H590" s="1852" t="s">
        <v>22</v>
      </c>
      <c r="I590" s="1852" t="s">
        <v>907</v>
      </c>
    </row>
    <row customHeight="1" ht="11.25">
      <c r="A591" s="1852" t="s">
        <v>2246</v>
      </c>
      <c r="B591" s="1852" t="s">
        <v>16</v>
      </c>
      <c r="C591" s="1852" t="s">
        <v>2685</v>
      </c>
      <c r="D591" s="1852" t="s">
        <v>2686</v>
      </c>
      <c r="E591" s="1852" t="s">
        <v>2417</v>
      </c>
      <c r="F591" s="1852" t="s">
        <v>2687</v>
      </c>
      <c r="G591" s="1852" t="s">
        <v>2688</v>
      </c>
      <c r="H591" s="1852" t="s">
        <v>22</v>
      </c>
      <c r="I591" s="1852" t="s">
        <v>907</v>
      </c>
    </row>
    <row customHeight="1" ht="11.25">
      <c r="A592" s="1852" t="s">
        <v>2246</v>
      </c>
      <c r="B592" s="1852" t="s">
        <v>16</v>
      </c>
      <c r="C592" s="1852" t="s">
        <v>2689</v>
      </c>
      <c r="D592" s="1852" t="s">
        <v>2690</v>
      </c>
      <c r="E592" s="1852" t="s">
        <v>2691</v>
      </c>
      <c r="F592" s="1852" t="s">
        <v>2692</v>
      </c>
      <c r="G592" s="1852" t="s">
        <v>22</v>
      </c>
      <c r="H592" s="1852" t="s">
        <v>22</v>
      </c>
      <c r="I592" s="1852" t="s">
        <v>907</v>
      </c>
    </row>
    <row customHeight="1" ht="11.25">
      <c r="A593" s="1852" t="s">
        <v>2246</v>
      </c>
      <c r="B593" s="1852" t="s">
        <v>16</v>
      </c>
      <c r="C593" s="1852" t="s">
        <v>2713</v>
      </c>
      <c r="D593" s="1852" t="s">
        <v>2714</v>
      </c>
      <c r="E593" s="1852" t="s">
        <v>2715</v>
      </c>
      <c r="F593" s="1852" t="s">
        <v>2618</v>
      </c>
      <c r="G593" s="1852" t="s">
        <v>22</v>
      </c>
      <c r="H593" s="1852" t="s">
        <v>22</v>
      </c>
      <c r="I593" s="1852" t="s">
        <v>907</v>
      </c>
    </row>
    <row customHeight="1" ht="11.25">
      <c r="A594" s="1852" t="s">
        <v>2246</v>
      </c>
      <c r="B594" s="1852" t="s">
        <v>16</v>
      </c>
      <c r="C594" s="1852" t="s">
        <v>3267</v>
      </c>
      <c r="D594" s="1852" t="s">
        <v>3268</v>
      </c>
      <c r="E594" s="1852" t="s">
        <v>3269</v>
      </c>
      <c r="F594" s="1852" t="s">
        <v>2477</v>
      </c>
      <c r="G594" s="1852" t="s">
        <v>22</v>
      </c>
      <c r="H594" s="1852" t="s">
        <v>22</v>
      </c>
      <c r="I594" s="1852" t="s">
        <v>907</v>
      </c>
    </row>
    <row customHeight="1" ht="11.25">
      <c r="A595" s="1852" t="s">
        <v>2246</v>
      </c>
      <c r="B595" s="1852" t="s">
        <v>16</v>
      </c>
      <c r="C595" s="1852" t="s">
        <v>3373</v>
      </c>
      <c r="D595" s="1852" t="s">
        <v>3374</v>
      </c>
      <c r="E595" s="1852" t="s">
        <v>3375</v>
      </c>
      <c r="F595" s="1852" t="s">
        <v>2326</v>
      </c>
      <c r="G595" s="1852" t="s">
        <v>22</v>
      </c>
      <c r="H595" s="1852" t="s">
        <v>2382</v>
      </c>
      <c r="I595" s="1852" t="s">
        <v>907</v>
      </c>
    </row>
    <row customHeight="1" ht="11.25">
      <c r="A596" s="1852" t="s">
        <v>2246</v>
      </c>
      <c r="B596" s="1852" t="s">
        <v>16</v>
      </c>
      <c r="C596" s="1852" t="s">
        <v>3274</v>
      </c>
      <c r="D596" s="1852" t="s">
        <v>3275</v>
      </c>
      <c r="E596" s="1852" t="s">
        <v>3276</v>
      </c>
      <c r="F596" s="1852" t="s">
        <v>2318</v>
      </c>
      <c r="G596" s="1852" t="s">
        <v>22</v>
      </c>
      <c r="H596" s="1852" t="s">
        <v>22</v>
      </c>
      <c r="I596" s="1852" t="s">
        <v>907</v>
      </c>
    </row>
    <row customHeight="1" ht="11.25">
      <c r="A597" s="1852" t="s">
        <v>2246</v>
      </c>
      <c r="B597" s="1852" t="s">
        <v>16</v>
      </c>
      <c r="C597" s="1852" t="s">
        <v>2723</v>
      </c>
      <c r="D597" s="1852" t="s">
        <v>2724</v>
      </c>
      <c r="E597" s="1852" t="s">
        <v>2725</v>
      </c>
      <c r="F597" s="1852" t="s">
        <v>2318</v>
      </c>
      <c r="G597" s="1852" t="s">
        <v>22</v>
      </c>
      <c r="H597" s="1852" t="s">
        <v>22</v>
      </c>
      <c r="I597" s="1852" t="s">
        <v>907</v>
      </c>
    </row>
    <row customHeight="1" ht="11.25">
      <c r="A598" s="1852" t="s">
        <v>2246</v>
      </c>
      <c r="B598" s="1852" t="s">
        <v>16</v>
      </c>
      <c r="C598" s="1852" t="s">
        <v>2729</v>
      </c>
      <c r="D598" s="1852" t="s">
        <v>2730</v>
      </c>
      <c r="E598" s="1852" t="s">
        <v>2731</v>
      </c>
      <c r="F598" s="1852" t="s">
        <v>2250</v>
      </c>
      <c r="G598" s="1852" t="s">
        <v>22</v>
      </c>
      <c r="H598" s="1852" t="s">
        <v>22</v>
      </c>
      <c r="I598" s="1852" t="s">
        <v>907</v>
      </c>
    </row>
    <row customHeight="1" ht="11.25">
      <c r="A599" s="1852" t="s">
        <v>2246</v>
      </c>
      <c r="B599" s="1852" t="s">
        <v>16</v>
      </c>
      <c r="C599" s="1852" t="s">
        <v>2732</v>
      </c>
      <c r="D599" s="1852" t="s">
        <v>2733</v>
      </c>
      <c r="E599" s="1852" t="s">
        <v>2734</v>
      </c>
      <c r="F599" s="1852" t="s">
        <v>2250</v>
      </c>
      <c r="G599" s="1852" t="s">
        <v>22</v>
      </c>
      <c r="H599" s="1852" t="s">
        <v>2735</v>
      </c>
      <c r="I599" s="1852" t="s">
        <v>907</v>
      </c>
    </row>
    <row customHeight="1" ht="11.25">
      <c r="A600" s="1852" t="s">
        <v>2246</v>
      </c>
      <c r="B600" s="1852" t="s">
        <v>16</v>
      </c>
      <c r="C600" s="1852" t="s">
        <v>2736</v>
      </c>
      <c r="D600" s="1852" t="s">
        <v>2737</v>
      </c>
      <c r="E600" s="1852" t="s">
        <v>2738</v>
      </c>
      <c r="F600" s="1852" t="s">
        <v>2618</v>
      </c>
      <c r="G600" s="1852" t="s">
        <v>22</v>
      </c>
      <c r="H600" s="1852" t="s">
        <v>2735</v>
      </c>
      <c r="I600" s="1852" t="s">
        <v>907</v>
      </c>
    </row>
    <row customHeight="1" ht="11.25">
      <c r="A601" s="1852" t="s">
        <v>2246</v>
      </c>
      <c r="B601" s="1852" t="s">
        <v>16</v>
      </c>
      <c r="C601" s="1852" t="s">
        <v>3376</v>
      </c>
      <c r="D601" s="1852" t="s">
        <v>3377</v>
      </c>
      <c r="E601" s="1852" t="s">
        <v>3378</v>
      </c>
      <c r="F601" s="1852" t="s">
        <v>2369</v>
      </c>
      <c r="G601" s="1852" t="s">
        <v>22</v>
      </c>
      <c r="H601" s="1852" t="s">
        <v>22</v>
      </c>
      <c r="I601" s="1852" t="s">
        <v>907</v>
      </c>
    </row>
    <row customHeight="1" ht="11.25">
      <c r="A602" s="1852" t="s">
        <v>2246</v>
      </c>
      <c r="B602" s="1852" t="s">
        <v>16</v>
      </c>
      <c r="C602" s="1852" t="s">
        <v>3277</v>
      </c>
      <c r="D602" s="1852" t="s">
        <v>3278</v>
      </c>
      <c r="E602" s="1852" t="s">
        <v>3279</v>
      </c>
      <c r="F602" s="1852" t="s">
        <v>2494</v>
      </c>
      <c r="G602" s="1852" t="s">
        <v>22</v>
      </c>
      <c r="H602" s="1852" t="s">
        <v>22</v>
      </c>
      <c r="I602" s="1852" t="s">
        <v>907</v>
      </c>
    </row>
    <row customHeight="1" ht="11.25">
      <c r="A603" s="1852" t="s">
        <v>2246</v>
      </c>
      <c r="B603" s="1852" t="s">
        <v>16</v>
      </c>
      <c r="C603" s="1852" t="s">
        <v>3280</v>
      </c>
      <c r="D603" s="1852" t="s">
        <v>3281</v>
      </c>
      <c r="E603" s="1852" t="s">
        <v>3282</v>
      </c>
      <c r="F603" s="1852" t="s">
        <v>2392</v>
      </c>
      <c r="G603" s="1852" t="s">
        <v>22</v>
      </c>
      <c r="H603" s="1852" t="s">
        <v>22</v>
      </c>
      <c r="I603" s="1852" t="s">
        <v>907</v>
      </c>
    </row>
    <row customHeight="1" ht="11.25">
      <c r="A604" s="1852" t="s">
        <v>2246</v>
      </c>
      <c r="B604" s="1852" t="s">
        <v>16</v>
      </c>
      <c r="C604" s="1852" t="s">
        <v>3283</v>
      </c>
      <c r="D604" s="1852" t="s">
        <v>3281</v>
      </c>
      <c r="E604" s="1852" t="s">
        <v>3284</v>
      </c>
      <c r="F604" s="1852" t="s">
        <v>2259</v>
      </c>
      <c r="G604" s="1852" t="s">
        <v>22</v>
      </c>
      <c r="H604" s="1852" t="s">
        <v>22</v>
      </c>
      <c r="I604" s="1852" t="s">
        <v>907</v>
      </c>
    </row>
    <row customHeight="1" ht="11.25">
      <c r="A605" s="1852" t="s">
        <v>2246</v>
      </c>
      <c r="B605" s="1852" t="s">
        <v>16</v>
      </c>
      <c r="C605" s="1852" t="s">
        <v>3285</v>
      </c>
      <c r="D605" s="1852" t="s">
        <v>3281</v>
      </c>
      <c r="E605" s="1852" t="s">
        <v>3286</v>
      </c>
      <c r="F605" s="1852" t="s">
        <v>2333</v>
      </c>
      <c r="G605" s="1852" t="s">
        <v>22</v>
      </c>
      <c r="H605" s="1852" t="s">
        <v>22</v>
      </c>
      <c r="I605" s="1852" t="s">
        <v>907</v>
      </c>
    </row>
    <row customHeight="1" ht="11.25">
      <c r="A606" s="1852" t="s">
        <v>2246</v>
      </c>
      <c r="B606" s="1852" t="s">
        <v>16</v>
      </c>
      <c r="C606" s="1852" t="s">
        <v>3287</v>
      </c>
      <c r="D606" s="1852" t="s">
        <v>3288</v>
      </c>
      <c r="E606" s="1852" t="s">
        <v>3289</v>
      </c>
      <c r="F606" s="1852" t="s">
        <v>2318</v>
      </c>
      <c r="G606" s="1852" t="s">
        <v>22</v>
      </c>
      <c r="H606" s="1852" t="s">
        <v>22</v>
      </c>
      <c r="I606" s="1852" t="s">
        <v>907</v>
      </c>
    </row>
    <row customHeight="1" ht="11.25">
      <c r="A607" s="1852" t="s">
        <v>2246</v>
      </c>
      <c r="B607" s="1852" t="s">
        <v>16</v>
      </c>
      <c r="C607" s="1852" t="s">
        <v>2760</v>
      </c>
      <c r="D607" s="1852" t="s">
        <v>2761</v>
      </c>
      <c r="E607" s="1852" t="s">
        <v>2762</v>
      </c>
      <c r="F607" s="1852" t="s">
        <v>2274</v>
      </c>
      <c r="G607" s="1852" t="s">
        <v>22</v>
      </c>
      <c r="H607" s="1852" t="s">
        <v>22</v>
      </c>
      <c r="I607" s="1852" t="s">
        <v>907</v>
      </c>
    </row>
    <row customHeight="1" ht="11.25">
      <c r="A608" s="1852" t="s">
        <v>2246</v>
      </c>
      <c r="B608" s="1852" t="s">
        <v>16</v>
      </c>
      <c r="C608" s="1852" t="s">
        <v>3379</v>
      </c>
      <c r="D608" s="1852" t="s">
        <v>3380</v>
      </c>
      <c r="E608" s="1852" t="s">
        <v>3381</v>
      </c>
      <c r="F608" s="1852" t="s">
        <v>3382</v>
      </c>
      <c r="G608" s="1852" t="s">
        <v>22</v>
      </c>
      <c r="H608" s="1852" t="s">
        <v>22</v>
      </c>
      <c r="I608" s="1852" t="s">
        <v>907</v>
      </c>
    </row>
    <row customHeight="1" ht="11.25">
      <c r="A609" s="1852" t="s">
        <v>2246</v>
      </c>
      <c r="B609" s="1852" t="s">
        <v>16</v>
      </c>
      <c r="C609" s="1852" t="s">
        <v>2779</v>
      </c>
      <c r="D609" s="1852" t="s">
        <v>2780</v>
      </c>
      <c r="E609" s="1852" t="s">
        <v>2781</v>
      </c>
      <c r="F609" s="1852" t="s">
        <v>2782</v>
      </c>
      <c r="G609" s="1852" t="s">
        <v>2783</v>
      </c>
      <c r="H609" s="1852" t="s">
        <v>22</v>
      </c>
      <c r="I609" s="1852" t="s">
        <v>907</v>
      </c>
    </row>
    <row customHeight="1" ht="11.25">
      <c r="A610" s="1852" t="s">
        <v>2246</v>
      </c>
      <c r="B610" s="1852" t="s">
        <v>16</v>
      </c>
      <c r="C610" s="1852" t="s">
        <v>2784</v>
      </c>
      <c r="D610" s="1852" t="s">
        <v>2780</v>
      </c>
      <c r="E610" s="1852" t="s">
        <v>2781</v>
      </c>
      <c r="F610" s="1852" t="s">
        <v>2785</v>
      </c>
      <c r="G610" s="1852" t="s">
        <v>22</v>
      </c>
      <c r="H610" s="1852" t="s">
        <v>22</v>
      </c>
      <c r="I610" s="1852" t="s">
        <v>907</v>
      </c>
    </row>
    <row customHeight="1" ht="11.25">
      <c r="A611" s="1852" t="s">
        <v>2246</v>
      </c>
      <c r="B611" s="1852" t="s">
        <v>16</v>
      </c>
      <c r="C611" s="1852" t="s">
        <v>3294</v>
      </c>
      <c r="D611" s="1852" t="s">
        <v>3295</v>
      </c>
      <c r="E611" s="1852" t="s">
        <v>3296</v>
      </c>
      <c r="F611" s="1852" t="s">
        <v>2546</v>
      </c>
      <c r="G611" s="1852" t="s">
        <v>3297</v>
      </c>
      <c r="H611" s="1852" t="s">
        <v>22</v>
      </c>
      <c r="I611" s="1852" t="s">
        <v>907</v>
      </c>
    </row>
    <row customHeight="1" ht="11.25">
      <c r="A612" s="1852" t="s">
        <v>2246</v>
      </c>
      <c r="B612" s="1852" t="s">
        <v>16</v>
      </c>
      <c r="C612" s="1852" t="s">
        <v>2802</v>
      </c>
      <c r="D612" s="1852" t="s">
        <v>2803</v>
      </c>
      <c r="E612" s="1852" t="s">
        <v>2804</v>
      </c>
      <c r="F612" s="1852" t="s">
        <v>2534</v>
      </c>
      <c r="G612" s="1852" t="s">
        <v>22</v>
      </c>
      <c r="H612" s="1852" t="s">
        <v>22</v>
      </c>
      <c r="I612" s="1852" t="s">
        <v>907</v>
      </c>
    </row>
    <row customHeight="1" ht="11.25">
      <c r="A613" s="1852" t="s">
        <v>2246</v>
      </c>
      <c r="B613" s="1852" t="s">
        <v>16</v>
      </c>
      <c r="C613" s="1852" t="s">
        <v>2805</v>
      </c>
      <c r="D613" s="1852" t="s">
        <v>2806</v>
      </c>
      <c r="E613" s="1852" t="s">
        <v>2807</v>
      </c>
      <c r="F613" s="1852" t="s">
        <v>2618</v>
      </c>
      <c r="G613" s="1852" t="s">
        <v>22</v>
      </c>
      <c r="H613" s="1852" t="s">
        <v>22</v>
      </c>
      <c r="I613" s="1852" t="s">
        <v>907</v>
      </c>
    </row>
    <row customHeight="1" ht="11.25">
      <c r="A614" s="1852" t="s">
        <v>2246</v>
      </c>
      <c r="B614" s="1852" t="s">
        <v>16</v>
      </c>
      <c r="C614" s="1852" t="s">
        <v>2808</v>
      </c>
      <c r="D614" s="1852" t="s">
        <v>2809</v>
      </c>
      <c r="E614" s="1852" t="s">
        <v>2810</v>
      </c>
      <c r="F614" s="1852" t="s">
        <v>2250</v>
      </c>
      <c r="G614" s="1852" t="s">
        <v>22</v>
      </c>
      <c r="H614" s="1852" t="s">
        <v>22</v>
      </c>
      <c r="I614" s="1852" t="s">
        <v>907</v>
      </c>
    </row>
    <row customHeight="1" ht="11.25">
      <c r="A615" s="1852" t="s">
        <v>2246</v>
      </c>
      <c r="B615" s="1852" t="s">
        <v>16</v>
      </c>
      <c r="C615" s="1852" t="s">
        <v>2811</v>
      </c>
      <c r="D615" s="1852" t="s">
        <v>2812</v>
      </c>
      <c r="E615" s="1852" t="s">
        <v>2813</v>
      </c>
      <c r="F615" s="1852" t="s">
        <v>2250</v>
      </c>
      <c r="G615" s="1852" t="s">
        <v>22</v>
      </c>
      <c r="H615" s="1852" t="s">
        <v>22</v>
      </c>
      <c r="I615" s="1852" t="s">
        <v>907</v>
      </c>
    </row>
    <row customHeight="1" ht="11.25">
      <c r="A616" s="1852" t="s">
        <v>2246</v>
      </c>
      <c r="B616" s="1852" t="s">
        <v>16</v>
      </c>
      <c r="C616" s="1852" t="s">
        <v>2814</v>
      </c>
      <c r="D616" s="1852" t="s">
        <v>2815</v>
      </c>
      <c r="E616" s="1852" t="s">
        <v>2816</v>
      </c>
      <c r="F616" s="1852" t="s">
        <v>2250</v>
      </c>
      <c r="G616" s="1852" t="s">
        <v>22</v>
      </c>
      <c r="H616" s="1852" t="s">
        <v>22</v>
      </c>
      <c r="I616" s="1852" t="s">
        <v>907</v>
      </c>
    </row>
    <row customHeight="1" ht="11.25">
      <c r="A617" s="1852" t="s">
        <v>2246</v>
      </c>
      <c r="B617" s="1852" t="s">
        <v>16</v>
      </c>
      <c r="C617" s="1852" t="s">
        <v>2817</v>
      </c>
      <c r="D617" s="1852" t="s">
        <v>2818</v>
      </c>
      <c r="E617" s="1852" t="s">
        <v>2819</v>
      </c>
      <c r="F617" s="1852" t="s">
        <v>2250</v>
      </c>
      <c r="G617" s="1852" t="s">
        <v>22</v>
      </c>
      <c r="H617" s="1852" t="s">
        <v>22</v>
      </c>
      <c r="I617" s="1852" t="s">
        <v>907</v>
      </c>
    </row>
    <row customHeight="1" ht="11.25">
      <c r="A618" s="1852" t="s">
        <v>2246</v>
      </c>
      <c r="B618" s="1852" t="s">
        <v>16</v>
      </c>
      <c r="C618" s="1852" t="s">
        <v>2820</v>
      </c>
      <c r="D618" s="1852" t="s">
        <v>2821</v>
      </c>
      <c r="E618" s="1852" t="s">
        <v>2822</v>
      </c>
      <c r="F618" s="1852" t="s">
        <v>2259</v>
      </c>
      <c r="G618" s="1852" t="s">
        <v>22</v>
      </c>
      <c r="H618" s="1852" t="s">
        <v>22</v>
      </c>
      <c r="I618" s="1852" t="s">
        <v>907</v>
      </c>
    </row>
    <row customHeight="1" ht="11.25">
      <c r="A619" s="1852" t="s">
        <v>2246</v>
      </c>
      <c r="B619" s="1852" t="s">
        <v>16</v>
      </c>
      <c r="C619" s="1852" t="s">
        <v>2823</v>
      </c>
      <c r="D619" s="1852" t="s">
        <v>2824</v>
      </c>
      <c r="E619" s="1852" t="s">
        <v>2825</v>
      </c>
      <c r="F619" s="1852" t="s">
        <v>2534</v>
      </c>
      <c r="G619" s="1852" t="s">
        <v>22</v>
      </c>
      <c r="H619" s="1852" t="s">
        <v>22</v>
      </c>
      <c r="I619" s="1852" t="s">
        <v>907</v>
      </c>
    </row>
    <row customHeight="1" ht="11.25">
      <c r="A620" s="1852" t="s">
        <v>2246</v>
      </c>
      <c r="B620" s="1852" t="s">
        <v>16</v>
      </c>
      <c r="C620" s="1852" t="s">
        <v>2832</v>
      </c>
      <c r="D620" s="1852" t="s">
        <v>2830</v>
      </c>
      <c r="E620" s="1852" t="s">
        <v>2833</v>
      </c>
      <c r="F620" s="1852" t="s">
        <v>2834</v>
      </c>
      <c r="G620" s="1852" t="s">
        <v>22</v>
      </c>
      <c r="H620" s="1852" t="s">
        <v>22</v>
      </c>
      <c r="I620" s="1852" t="s">
        <v>907</v>
      </c>
    </row>
    <row customHeight="1" ht="11.25">
      <c r="A621" s="1852" t="s">
        <v>2246</v>
      </c>
      <c r="B621" s="1852" t="s">
        <v>16</v>
      </c>
      <c r="C621" s="1852" t="s">
        <v>3301</v>
      </c>
      <c r="D621" s="1852" t="s">
        <v>2839</v>
      </c>
      <c r="E621" s="1852" t="s">
        <v>3302</v>
      </c>
      <c r="F621" s="1852" t="s">
        <v>2534</v>
      </c>
      <c r="G621" s="1852" t="s">
        <v>22</v>
      </c>
      <c r="H621" s="1852" t="s">
        <v>22</v>
      </c>
      <c r="I621" s="1852" t="s">
        <v>907</v>
      </c>
    </row>
    <row customHeight="1" ht="11.25">
      <c r="A622" s="1852" t="s">
        <v>2246</v>
      </c>
      <c r="B622" s="1852" t="s">
        <v>16</v>
      </c>
      <c r="C622" s="1852" t="s">
        <v>3303</v>
      </c>
      <c r="D622" s="1852" t="s">
        <v>3304</v>
      </c>
      <c r="E622" s="1852" t="s">
        <v>3305</v>
      </c>
      <c r="F622" s="1852" t="s">
        <v>2623</v>
      </c>
      <c r="G622" s="1852" t="s">
        <v>22</v>
      </c>
      <c r="H622" s="1852" t="s">
        <v>22</v>
      </c>
      <c r="I622" s="1852" t="s">
        <v>907</v>
      </c>
    </row>
    <row customHeight="1" ht="11.25">
      <c r="A623" s="1852" t="s">
        <v>2246</v>
      </c>
      <c r="B623" s="1852" t="s">
        <v>16</v>
      </c>
      <c r="C623" s="1852" t="s">
        <v>2841</v>
      </c>
      <c r="D623" s="1852" t="s">
        <v>2842</v>
      </c>
      <c r="E623" s="1852" t="s">
        <v>2843</v>
      </c>
      <c r="F623" s="1852" t="s">
        <v>2274</v>
      </c>
      <c r="G623" s="1852" t="s">
        <v>22</v>
      </c>
      <c r="H623" s="1852" t="s">
        <v>22</v>
      </c>
      <c r="I623" s="1852" t="s">
        <v>907</v>
      </c>
    </row>
    <row customHeight="1" ht="11.25">
      <c r="A624" s="1852" t="s">
        <v>2246</v>
      </c>
      <c r="B624" s="1852" t="s">
        <v>16</v>
      </c>
      <c r="C624" s="1852" t="s">
        <v>2854</v>
      </c>
      <c r="D624" s="1852" t="s">
        <v>2855</v>
      </c>
      <c r="E624" s="1852" t="s">
        <v>2856</v>
      </c>
      <c r="F624" s="1852" t="s">
        <v>2341</v>
      </c>
      <c r="G624" s="1852" t="s">
        <v>22</v>
      </c>
      <c r="H624" s="1852" t="s">
        <v>22</v>
      </c>
      <c r="I624" s="1852" t="s">
        <v>907</v>
      </c>
    </row>
    <row customHeight="1" ht="11.25">
      <c r="A625" s="1852" t="s">
        <v>2246</v>
      </c>
      <c r="B625" s="1852" t="s">
        <v>16</v>
      </c>
      <c r="C625" s="1852" t="s">
        <v>2857</v>
      </c>
      <c r="D625" s="1852" t="s">
        <v>2858</v>
      </c>
      <c r="E625" s="1852" t="s">
        <v>2859</v>
      </c>
      <c r="F625" s="1852" t="s">
        <v>2860</v>
      </c>
      <c r="G625" s="1852" t="s">
        <v>2861</v>
      </c>
      <c r="H625" s="1852" t="s">
        <v>22</v>
      </c>
      <c r="I625" s="1852" t="s">
        <v>907</v>
      </c>
    </row>
    <row customHeight="1" ht="11.25">
      <c r="A626" s="1852" t="s">
        <v>2246</v>
      </c>
      <c r="B626" s="1852" t="s">
        <v>16</v>
      </c>
      <c r="C626" s="1852" t="s">
        <v>3155</v>
      </c>
      <c r="D626" s="1852" t="s">
        <v>3156</v>
      </c>
      <c r="E626" s="1852" t="s">
        <v>3157</v>
      </c>
      <c r="F626" s="1852" t="s">
        <v>2592</v>
      </c>
      <c r="G626" s="1852" t="s">
        <v>3158</v>
      </c>
      <c r="H626" s="1852" t="s">
        <v>22</v>
      </c>
      <c r="I626" s="1852" t="s">
        <v>907</v>
      </c>
    </row>
    <row customHeight="1" ht="11.25">
      <c r="A627" s="1852" t="s">
        <v>2246</v>
      </c>
      <c r="B627" s="1852" t="s">
        <v>16</v>
      </c>
      <c r="C627" s="1852" t="s">
        <v>2862</v>
      </c>
      <c r="D627" s="1852" t="s">
        <v>2863</v>
      </c>
      <c r="E627" s="1852" t="s">
        <v>2864</v>
      </c>
      <c r="F627" s="1852" t="s">
        <v>2534</v>
      </c>
      <c r="G627" s="1852" t="s">
        <v>22</v>
      </c>
      <c r="H627" s="1852" t="s">
        <v>22</v>
      </c>
      <c r="I627" s="1852" t="s">
        <v>907</v>
      </c>
    </row>
    <row customHeight="1" ht="11.25">
      <c r="A628" s="1852" t="s">
        <v>2246</v>
      </c>
      <c r="B628" s="1852" t="s">
        <v>16</v>
      </c>
      <c r="C628" s="1852" t="s">
        <v>2865</v>
      </c>
      <c r="D628" s="1852" t="s">
        <v>2866</v>
      </c>
      <c r="E628" s="1852" t="s">
        <v>2867</v>
      </c>
      <c r="F628" s="1852" t="s">
        <v>2259</v>
      </c>
      <c r="G628" s="1852" t="s">
        <v>22</v>
      </c>
      <c r="H628" s="1852" t="s">
        <v>22</v>
      </c>
      <c r="I628" s="1852" t="s">
        <v>907</v>
      </c>
    </row>
    <row customHeight="1" ht="11.25">
      <c r="A629" s="1852" t="s">
        <v>2246</v>
      </c>
      <c r="B629" s="1852" t="s">
        <v>16</v>
      </c>
      <c r="C629" s="1852" t="s">
        <v>2871</v>
      </c>
      <c r="D629" s="1852" t="s">
        <v>2872</v>
      </c>
      <c r="E629" s="1852" t="s">
        <v>2873</v>
      </c>
      <c r="F629" s="1852" t="s">
        <v>2365</v>
      </c>
      <c r="G629" s="1852" t="s">
        <v>22</v>
      </c>
      <c r="H629" s="1852" t="s">
        <v>22</v>
      </c>
      <c r="I629" s="1852" t="s">
        <v>907</v>
      </c>
    </row>
    <row customHeight="1" ht="11.25">
      <c r="A630" s="1852" t="s">
        <v>2246</v>
      </c>
      <c r="B630" s="1852" t="s">
        <v>16</v>
      </c>
      <c r="C630" s="1852" t="s">
        <v>2877</v>
      </c>
      <c r="D630" s="1852" t="s">
        <v>2878</v>
      </c>
      <c r="E630" s="1852" t="s">
        <v>2879</v>
      </c>
      <c r="F630" s="1852" t="s">
        <v>2365</v>
      </c>
      <c r="G630" s="1852" t="s">
        <v>22</v>
      </c>
      <c r="H630" s="1852" t="s">
        <v>22</v>
      </c>
      <c r="I630" s="1852" t="s">
        <v>907</v>
      </c>
    </row>
    <row customHeight="1" ht="11.25">
      <c r="A631" s="1852" t="s">
        <v>2246</v>
      </c>
      <c r="B631" s="1852" t="s">
        <v>16</v>
      </c>
      <c r="C631" s="1852" t="s">
        <v>2880</v>
      </c>
      <c r="D631" s="1852" t="s">
        <v>2881</v>
      </c>
      <c r="E631" s="1852" t="s">
        <v>2882</v>
      </c>
      <c r="F631" s="1852" t="s">
        <v>2259</v>
      </c>
      <c r="G631" s="1852" t="s">
        <v>2520</v>
      </c>
      <c r="H631" s="1852" t="s">
        <v>22</v>
      </c>
      <c r="I631" s="1852" t="s">
        <v>907</v>
      </c>
    </row>
    <row customHeight="1" ht="11.25">
      <c r="A632" s="1852" t="s">
        <v>2246</v>
      </c>
      <c r="B632" s="1852" t="s">
        <v>16</v>
      </c>
      <c r="C632" s="1852" t="s">
        <v>2886</v>
      </c>
      <c r="D632" s="1852" t="s">
        <v>2887</v>
      </c>
      <c r="E632" s="1852" t="s">
        <v>2888</v>
      </c>
      <c r="F632" s="1852" t="s">
        <v>2534</v>
      </c>
      <c r="G632" s="1852" t="s">
        <v>22</v>
      </c>
      <c r="H632" s="1852" t="s">
        <v>22</v>
      </c>
      <c r="I632" s="1852" t="s">
        <v>907</v>
      </c>
    </row>
    <row customHeight="1" ht="11.25">
      <c r="A633" s="1852" t="s">
        <v>2246</v>
      </c>
      <c r="B633" s="1852" t="s">
        <v>16</v>
      </c>
      <c r="C633" s="1852" t="s">
        <v>2889</v>
      </c>
      <c r="D633" s="1852" t="s">
        <v>2890</v>
      </c>
      <c r="E633" s="1852" t="s">
        <v>2891</v>
      </c>
      <c r="F633" s="1852" t="s">
        <v>2554</v>
      </c>
      <c r="G633" s="1852" t="s">
        <v>22</v>
      </c>
      <c r="H633" s="1852" t="s">
        <v>22</v>
      </c>
      <c r="I633" s="1852" t="s">
        <v>907</v>
      </c>
    </row>
    <row customHeight="1" ht="11.25">
      <c r="A634" s="1852" t="s">
        <v>2246</v>
      </c>
      <c r="B634" s="1852" t="s">
        <v>16</v>
      </c>
      <c r="C634" s="1852" t="s">
        <v>2901</v>
      </c>
      <c r="D634" s="1852" t="s">
        <v>2902</v>
      </c>
      <c r="E634" s="1852" t="s">
        <v>2903</v>
      </c>
      <c r="F634" s="1852" t="s">
        <v>2759</v>
      </c>
      <c r="G634" s="1852" t="s">
        <v>22</v>
      </c>
      <c r="H634" s="1852" t="s">
        <v>22</v>
      </c>
      <c r="I634" s="1852" t="s">
        <v>907</v>
      </c>
    </row>
    <row customHeight="1" ht="11.25">
      <c r="A635" s="1852" t="s">
        <v>2246</v>
      </c>
      <c r="B635" s="1852" t="s">
        <v>16</v>
      </c>
      <c r="C635" s="1852" t="s">
        <v>2910</v>
      </c>
      <c r="D635" s="1852" t="s">
        <v>2911</v>
      </c>
      <c r="E635" s="1852" t="s">
        <v>2912</v>
      </c>
      <c r="F635" s="1852" t="s">
        <v>2318</v>
      </c>
      <c r="G635" s="1852" t="s">
        <v>22</v>
      </c>
      <c r="H635" s="1852" t="s">
        <v>2565</v>
      </c>
      <c r="I635" s="1852" t="s">
        <v>907</v>
      </c>
    </row>
    <row customHeight="1" ht="11.25">
      <c r="A636" s="1852" t="s">
        <v>2246</v>
      </c>
      <c r="B636" s="1852" t="s">
        <v>16</v>
      </c>
      <c r="C636" s="1852" t="s">
        <v>3383</v>
      </c>
      <c r="D636" s="1852" t="s">
        <v>3384</v>
      </c>
      <c r="E636" s="1852" t="s">
        <v>3385</v>
      </c>
      <c r="F636" s="1852" t="s">
        <v>2618</v>
      </c>
      <c r="G636" s="1852" t="s">
        <v>22</v>
      </c>
      <c r="H636" s="1852" t="s">
        <v>22</v>
      </c>
      <c r="I636" s="1852" t="s">
        <v>907</v>
      </c>
    </row>
    <row customHeight="1" ht="11.25">
      <c r="A637" s="1852" t="s">
        <v>2246</v>
      </c>
      <c r="B637" s="1852" t="s">
        <v>16</v>
      </c>
      <c r="C637" s="1852" t="s">
        <v>2913</v>
      </c>
      <c r="D637" s="1852" t="s">
        <v>2914</v>
      </c>
      <c r="E637" s="1852" t="s">
        <v>2915</v>
      </c>
      <c r="F637" s="1852" t="s">
        <v>2534</v>
      </c>
      <c r="G637" s="1852" t="s">
        <v>22</v>
      </c>
      <c r="H637" s="1852" t="s">
        <v>22</v>
      </c>
      <c r="I637" s="1852" t="s">
        <v>907</v>
      </c>
    </row>
    <row customHeight="1" ht="11.25">
      <c r="A638" s="1852" t="s">
        <v>2246</v>
      </c>
      <c r="B638" s="1852" t="s">
        <v>16</v>
      </c>
      <c r="C638" s="1852" t="s">
        <v>3312</v>
      </c>
      <c r="D638" s="1852" t="s">
        <v>3313</v>
      </c>
      <c r="E638" s="1852" t="s">
        <v>3314</v>
      </c>
      <c r="F638" s="1852" t="s">
        <v>2534</v>
      </c>
      <c r="G638" s="1852" t="s">
        <v>22</v>
      </c>
      <c r="H638" s="1852" t="s">
        <v>22</v>
      </c>
      <c r="I638" s="1852" t="s">
        <v>907</v>
      </c>
    </row>
    <row customHeight="1" ht="11.25">
      <c r="A639" s="1852" t="s">
        <v>2246</v>
      </c>
      <c r="B639" s="1852" t="s">
        <v>16</v>
      </c>
      <c r="C639" s="1852" t="s">
        <v>3315</v>
      </c>
      <c r="D639" s="1852" t="s">
        <v>3316</v>
      </c>
      <c r="E639" s="1852" t="s">
        <v>3317</v>
      </c>
      <c r="F639" s="1852" t="s">
        <v>2613</v>
      </c>
      <c r="G639" s="1852" t="s">
        <v>22</v>
      </c>
      <c r="H639" s="1852" t="s">
        <v>22</v>
      </c>
      <c r="I639" s="1852" t="s">
        <v>907</v>
      </c>
    </row>
    <row customHeight="1" ht="11.25">
      <c r="A640" s="1852" t="s">
        <v>2246</v>
      </c>
      <c r="B640" s="1852" t="s">
        <v>16</v>
      </c>
      <c r="C640" s="1852" t="s">
        <v>2925</v>
      </c>
      <c r="D640" s="1852" t="s">
        <v>2926</v>
      </c>
      <c r="E640" s="1852" t="s">
        <v>2927</v>
      </c>
      <c r="F640" s="1852" t="s">
        <v>2373</v>
      </c>
      <c r="G640" s="1852" t="s">
        <v>22</v>
      </c>
      <c r="H640" s="1852" t="s">
        <v>22</v>
      </c>
      <c r="I640" s="1852" t="s">
        <v>907</v>
      </c>
    </row>
    <row customHeight="1" ht="11.25">
      <c r="A641" s="1852" t="s">
        <v>2246</v>
      </c>
      <c r="B641" s="1852" t="s">
        <v>16</v>
      </c>
      <c r="C641" s="1852" t="s">
        <v>2928</v>
      </c>
      <c r="D641" s="1852" t="s">
        <v>2929</v>
      </c>
      <c r="E641" s="1852" t="s">
        <v>2930</v>
      </c>
      <c r="F641" s="1852" t="s">
        <v>2318</v>
      </c>
      <c r="G641" s="1852" t="s">
        <v>2931</v>
      </c>
      <c r="H641" s="1852" t="s">
        <v>22</v>
      </c>
      <c r="I641" s="1852" t="s">
        <v>907</v>
      </c>
    </row>
    <row customHeight="1" ht="11.25">
      <c r="A642" s="1852" t="s">
        <v>2246</v>
      </c>
      <c r="B642" s="1852" t="s">
        <v>16</v>
      </c>
      <c r="C642" s="1852" t="s">
        <v>2932</v>
      </c>
      <c r="D642" s="1852" t="s">
        <v>2933</v>
      </c>
      <c r="E642" s="1852" t="s">
        <v>2934</v>
      </c>
      <c r="F642" s="1852" t="s">
        <v>2259</v>
      </c>
      <c r="G642" s="1852" t="s">
        <v>22</v>
      </c>
      <c r="H642" s="1852" t="s">
        <v>22</v>
      </c>
      <c r="I642" s="1852" t="s">
        <v>907</v>
      </c>
    </row>
    <row customHeight="1" ht="11.25">
      <c r="A643" s="1852" t="s">
        <v>2246</v>
      </c>
      <c r="B643" s="1852" t="s">
        <v>16</v>
      </c>
      <c r="C643" s="1852" t="s">
        <v>2935</v>
      </c>
      <c r="D643" s="1852" t="s">
        <v>2936</v>
      </c>
      <c r="E643" s="1852" t="s">
        <v>2937</v>
      </c>
      <c r="F643" s="1852" t="s">
        <v>2333</v>
      </c>
      <c r="G643" s="1852" t="s">
        <v>22</v>
      </c>
      <c r="H643" s="1852" t="s">
        <v>22</v>
      </c>
      <c r="I643" s="1852" t="s">
        <v>907</v>
      </c>
    </row>
    <row customHeight="1" ht="11.25">
      <c r="A644" s="1852" t="s">
        <v>2246</v>
      </c>
      <c r="B644" s="1852" t="s">
        <v>16</v>
      </c>
      <c r="C644" s="1852" t="s">
        <v>2941</v>
      </c>
      <c r="D644" s="1852" t="s">
        <v>2942</v>
      </c>
      <c r="E644" s="1852" t="s">
        <v>2943</v>
      </c>
      <c r="F644" s="1852" t="s">
        <v>2669</v>
      </c>
      <c r="G644" s="1852" t="s">
        <v>22</v>
      </c>
      <c r="H644" s="1852" t="s">
        <v>22</v>
      </c>
      <c r="I644" s="1852" t="s">
        <v>907</v>
      </c>
    </row>
    <row customHeight="1" ht="11.25">
      <c r="A645" s="1852" t="s">
        <v>2246</v>
      </c>
      <c r="B645" s="1852" t="s">
        <v>16</v>
      </c>
      <c r="C645" s="1852" t="s">
        <v>2962</v>
      </c>
      <c r="D645" s="1852" t="s">
        <v>2963</v>
      </c>
      <c r="E645" s="1852" t="s">
        <v>2964</v>
      </c>
      <c r="F645" s="1852" t="s">
        <v>2250</v>
      </c>
      <c r="G645" s="1852" t="s">
        <v>22</v>
      </c>
      <c r="H645" s="1852" t="s">
        <v>22</v>
      </c>
      <c r="I645" s="1852" t="s">
        <v>907</v>
      </c>
    </row>
    <row customHeight="1" ht="11.25">
      <c r="A646" s="1852" t="s">
        <v>2246</v>
      </c>
      <c r="B646" s="1852" t="s">
        <v>16</v>
      </c>
      <c r="C646" s="1852" t="s">
        <v>2977</v>
      </c>
      <c r="D646" s="1852" t="s">
        <v>2978</v>
      </c>
      <c r="E646" s="1852" t="s">
        <v>2979</v>
      </c>
      <c r="F646" s="1852" t="s">
        <v>2494</v>
      </c>
      <c r="G646" s="1852" t="s">
        <v>22</v>
      </c>
      <c r="H646" s="1852" t="s">
        <v>22</v>
      </c>
      <c r="I646" s="1852" t="s">
        <v>907</v>
      </c>
    </row>
    <row customHeight="1" ht="11.25">
      <c r="A647" s="1852" t="s">
        <v>2246</v>
      </c>
      <c r="B647" s="1852" t="s">
        <v>16</v>
      </c>
      <c r="C647" s="1852" t="s">
        <v>3386</v>
      </c>
      <c r="D647" s="1852" t="s">
        <v>3387</v>
      </c>
      <c r="E647" s="1852" t="s">
        <v>3388</v>
      </c>
      <c r="F647" s="1852" t="s">
        <v>2554</v>
      </c>
      <c r="G647" s="1852" t="s">
        <v>22</v>
      </c>
      <c r="H647" s="1852" t="s">
        <v>3389</v>
      </c>
      <c r="I647" s="1852" t="s">
        <v>907</v>
      </c>
    </row>
    <row customHeight="1" ht="11.25">
      <c r="A648" s="1852" t="s">
        <v>2246</v>
      </c>
      <c r="B648" s="1852" t="s">
        <v>16</v>
      </c>
      <c r="C648" s="1852" t="s">
        <v>3321</v>
      </c>
      <c r="D648" s="1852" t="s">
        <v>3322</v>
      </c>
      <c r="E648" s="1852" t="s">
        <v>3323</v>
      </c>
      <c r="F648" s="1852" t="s">
        <v>2373</v>
      </c>
      <c r="G648" s="1852" t="s">
        <v>22</v>
      </c>
      <c r="H648" s="1852" t="s">
        <v>3324</v>
      </c>
      <c r="I648" s="1852" t="s">
        <v>907</v>
      </c>
    </row>
    <row customHeight="1" ht="11.25">
      <c r="A649" s="1852" t="s">
        <v>2246</v>
      </c>
      <c r="B649" s="1852" t="s">
        <v>16</v>
      </c>
      <c r="C649" s="1852" t="s">
        <v>3390</v>
      </c>
      <c r="D649" s="1852" t="s">
        <v>3391</v>
      </c>
      <c r="E649" s="1852" t="s">
        <v>3392</v>
      </c>
      <c r="F649" s="1852" t="s">
        <v>2326</v>
      </c>
      <c r="G649" s="1852" t="s">
        <v>22</v>
      </c>
      <c r="H649" s="1852" t="s">
        <v>22</v>
      </c>
      <c r="I649" s="1852" t="s">
        <v>907</v>
      </c>
    </row>
    <row customHeight="1" ht="11.25">
      <c r="A650" s="1852" t="s">
        <v>2246</v>
      </c>
      <c r="B650" s="1852" t="s">
        <v>16</v>
      </c>
      <c r="C650" s="1852" t="s">
        <v>3026</v>
      </c>
      <c r="D650" s="1852" t="s">
        <v>3027</v>
      </c>
      <c r="E650" s="1852" t="s">
        <v>3028</v>
      </c>
      <c r="F650" s="1852" t="s">
        <v>2351</v>
      </c>
      <c r="G650" s="1852" t="s">
        <v>22</v>
      </c>
      <c r="H650" s="1852" t="s">
        <v>22</v>
      </c>
      <c r="I650" s="1852" t="s">
        <v>907</v>
      </c>
    </row>
    <row customHeight="1" ht="11.25">
      <c r="A651" s="1852" t="s">
        <v>2246</v>
      </c>
      <c r="B651" s="1852" t="s">
        <v>16</v>
      </c>
      <c r="C651" s="1852" t="s">
        <v>3325</v>
      </c>
      <c r="D651" s="1852" t="s">
        <v>3326</v>
      </c>
      <c r="E651" s="1852" t="s">
        <v>3327</v>
      </c>
      <c r="F651" s="1852" t="s">
        <v>2351</v>
      </c>
      <c r="G651" s="1852" t="s">
        <v>22</v>
      </c>
      <c r="H651" s="1852" t="s">
        <v>22</v>
      </c>
      <c r="I651" s="1852" t="s">
        <v>907</v>
      </c>
    </row>
    <row customHeight="1" ht="11.25">
      <c r="A652" s="1852" t="s">
        <v>2246</v>
      </c>
      <c r="B652" s="1852" t="s">
        <v>16</v>
      </c>
      <c r="C652" s="1852" t="s">
        <v>3029</v>
      </c>
      <c r="D652" s="1852" t="s">
        <v>3030</v>
      </c>
      <c r="E652" s="1852" t="s">
        <v>3031</v>
      </c>
      <c r="F652" s="1852" t="s">
        <v>2351</v>
      </c>
      <c r="G652" s="1852" t="s">
        <v>22</v>
      </c>
      <c r="H652" s="1852" t="s">
        <v>22</v>
      </c>
      <c r="I652" s="1852" t="s">
        <v>907</v>
      </c>
    </row>
    <row customHeight="1" ht="11.25">
      <c r="A653" s="1852" t="s">
        <v>2246</v>
      </c>
      <c r="B653" s="1852" t="s">
        <v>16</v>
      </c>
      <c r="C653" s="1852" t="s">
        <v>3328</v>
      </c>
      <c r="D653" s="1852" t="s">
        <v>3329</v>
      </c>
      <c r="E653" s="1852" t="s">
        <v>3330</v>
      </c>
      <c r="F653" s="1852" t="s">
        <v>2318</v>
      </c>
      <c r="G653" s="1852" t="s">
        <v>3331</v>
      </c>
      <c r="H653" s="1852" t="s">
        <v>22</v>
      </c>
      <c r="I653" s="1852" t="s">
        <v>907</v>
      </c>
    </row>
    <row customHeight="1" ht="11.25">
      <c r="A654" s="1852" t="s">
        <v>2246</v>
      </c>
      <c r="B654" s="1852" t="s">
        <v>16</v>
      </c>
      <c r="C654" s="1852" t="s">
        <v>3049</v>
      </c>
      <c r="D654" s="1852" t="s">
        <v>3050</v>
      </c>
      <c r="E654" s="1852" t="s">
        <v>3051</v>
      </c>
      <c r="F654" s="1852" t="s">
        <v>2365</v>
      </c>
      <c r="G654" s="1852" t="s">
        <v>22</v>
      </c>
      <c r="H654" s="1852" t="s">
        <v>22</v>
      </c>
      <c r="I654" s="1852" t="s">
        <v>907</v>
      </c>
    </row>
    <row customHeight="1" ht="11.25">
      <c r="A655" s="1852" t="s">
        <v>2246</v>
      </c>
      <c r="B655" s="1852" t="s">
        <v>16</v>
      </c>
      <c r="C655" s="1852" t="s">
        <v>3052</v>
      </c>
      <c r="D655" s="1852" t="s">
        <v>3053</v>
      </c>
      <c r="E655" s="1852" t="s">
        <v>3054</v>
      </c>
      <c r="F655" s="1852" t="s">
        <v>2365</v>
      </c>
      <c r="G655" s="1852" t="s">
        <v>22</v>
      </c>
      <c r="H655" s="1852" t="s">
        <v>22</v>
      </c>
      <c r="I655" s="1852" t="s">
        <v>907</v>
      </c>
    </row>
    <row customHeight="1" ht="11.25">
      <c r="A656" s="1852" t="s">
        <v>2246</v>
      </c>
      <c r="B656" s="1852" t="s">
        <v>16</v>
      </c>
      <c r="C656" s="1852" t="s">
        <v>3393</v>
      </c>
      <c r="D656" s="1852" t="s">
        <v>3394</v>
      </c>
      <c r="E656" s="1852" t="s">
        <v>3395</v>
      </c>
      <c r="F656" s="1852" t="s">
        <v>2274</v>
      </c>
      <c r="G656" s="1852" t="s">
        <v>22</v>
      </c>
      <c r="H656" s="1852" t="s">
        <v>3389</v>
      </c>
      <c r="I656" s="1852" t="s">
        <v>907</v>
      </c>
    </row>
    <row customHeight="1" ht="11.25">
      <c r="A657" s="1852" t="s">
        <v>2246</v>
      </c>
      <c r="B657" s="1852" t="s">
        <v>16</v>
      </c>
      <c r="C657" s="1852" t="s">
        <v>3159</v>
      </c>
      <c r="D657" s="1852" t="s">
        <v>3160</v>
      </c>
      <c r="E657" s="1852" t="s">
        <v>3161</v>
      </c>
      <c r="F657" s="1852" t="s">
        <v>3162</v>
      </c>
      <c r="G657" s="1852" t="s">
        <v>22</v>
      </c>
      <c r="H657" s="1852" t="s">
        <v>22</v>
      </c>
      <c r="I657" s="1852" t="s">
        <v>907</v>
      </c>
    </row>
    <row customHeight="1" ht="11.25">
      <c r="A658" s="1852" t="s">
        <v>2246</v>
      </c>
      <c r="B658" s="1852" t="s">
        <v>16</v>
      </c>
      <c r="C658" s="1852" t="s">
        <v>3058</v>
      </c>
      <c r="D658" s="1852" t="s">
        <v>3059</v>
      </c>
      <c r="E658" s="1852" t="s">
        <v>3060</v>
      </c>
      <c r="F658" s="1852" t="s">
        <v>2274</v>
      </c>
      <c r="G658" s="1852" t="s">
        <v>22</v>
      </c>
      <c r="H658" s="1852" t="s">
        <v>22</v>
      </c>
      <c r="I658" s="1852" t="s">
        <v>907</v>
      </c>
    </row>
    <row customHeight="1" ht="11.25">
      <c r="A659" s="1852" t="s">
        <v>2246</v>
      </c>
      <c r="B659" s="1852" t="s">
        <v>16</v>
      </c>
      <c r="C659" s="1852" t="s">
        <v>3073</v>
      </c>
      <c r="D659" s="1852" t="s">
        <v>3074</v>
      </c>
      <c r="E659" s="1852" t="s">
        <v>3075</v>
      </c>
      <c r="F659" s="1852" t="s">
        <v>2588</v>
      </c>
      <c r="G659" s="1852" t="s">
        <v>3076</v>
      </c>
      <c r="H659" s="1852" t="s">
        <v>22</v>
      </c>
      <c r="I659" s="1852" t="s">
        <v>907</v>
      </c>
    </row>
    <row customHeight="1" ht="11.25">
      <c r="A660" s="1852" t="s">
        <v>2246</v>
      </c>
      <c r="B660" s="1852" t="s">
        <v>16</v>
      </c>
      <c r="C660" s="1852" t="s">
        <v>3339</v>
      </c>
      <c r="D660" s="1852" t="s">
        <v>3340</v>
      </c>
      <c r="E660" s="1852" t="s">
        <v>3341</v>
      </c>
      <c r="F660" s="1852" t="s">
        <v>2351</v>
      </c>
      <c r="G660" s="1852" t="s">
        <v>22</v>
      </c>
      <c r="H660" s="1852" t="s">
        <v>22</v>
      </c>
      <c r="I660" s="1852" t="s">
        <v>907</v>
      </c>
    </row>
    <row customHeight="1" ht="11.25">
      <c r="A661" s="1852" t="s">
        <v>2246</v>
      </c>
      <c r="B661" s="1852" t="s">
        <v>16</v>
      </c>
      <c r="C661" s="1852" t="s">
        <v>3102</v>
      </c>
      <c r="D661" s="1852" t="s">
        <v>3103</v>
      </c>
      <c r="E661" s="1852" t="s">
        <v>3104</v>
      </c>
      <c r="F661" s="1852" t="s">
        <v>3105</v>
      </c>
      <c r="G661" s="1852" t="s">
        <v>22</v>
      </c>
      <c r="H661" s="1852" t="s">
        <v>22</v>
      </c>
      <c r="I661" s="1852" t="s">
        <v>907</v>
      </c>
    </row>
    <row customHeight="1" ht="11.25">
      <c r="A662" s="1852" t="s">
        <v>2246</v>
      </c>
      <c r="B662" s="1852" t="s">
        <v>16</v>
      </c>
      <c r="C662" s="1852" t="s">
        <v>3106</v>
      </c>
      <c r="D662" s="1852" t="s">
        <v>3107</v>
      </c>
      <c r="E662" s="1852" t="s">
        <v>3108</v>
      </c>
      <c r="F662" s="1852" t="s">
        <v>2326</v>
      </c>
      <c r="G662" s="1852" t="s">
        <v>22</v>
      </c>
      <c r="H662" s="1852" t="s">
        <v>22</v>
      </c>
      <c r="I662" s="1852" t="s">
        <v>907</v>
      </c>
    </row>
    <row customHeight="1" ht="11.25">
      <c r="A663" s="1852" t="s">
        <v>2246</v>
      </c>
      <c r="B663" s="1852" t="s">
        <v>16</v>
      </c>
      <c r="C663" s="1852" t="s">
        <v>3354</v>
      </c>
      <c r="D663" s="1852" t="s">
        <v>3355</v>
      </c>
      <c r="E663" s="1852" t="s">
        <v>3356</v>
      </c>
      <c r="F663" s="1852" t="s">
        <v>2759</v>
      </c>
      <c r="G663" s="1852" t="s">
        <v>22</v>
      </c>
      <c r="H663" s="1852" t="s">
        <v>22</v>
      </c>
      <c r="I663" s="1852" t="s">
        <v>907</v>
      </c>
    </row>
    <row customHeight="1" ht="11.25">
      <c r="A664" s="1852" t="s">
        <v>2246</v>
      </c>
      <c r="B664" s="1852" t="s">
        <v>16</v>
      </c>
      <c r="C664" s="1852" t="s">
        <v>3114</v>
      </c>
      <c r="D664" s="1852" t="s">
        <v>3115</v>
      </c>
      <c r="E664" s="1852" t="s">
        <v>3116</v>
      </c>
      <c r="F664" s="1852" t="s">
        <v>2318</v>
      </c>
      <c r="G664" s="1852" t="s">
        <v>22</v>
      </c>
      <c r="H664" s="1852" t="s">
        <v>22</v>
      </c>
      <c r="I664" s="1852" t="s">
        <v>907</v>
      </c>
    </row>
    <row customHeight="1" ht="11.25">
      <c r="A665" s="1852" t="s">
        <v>2246</v>
      </c>
      <c r="B665" s="1852" t="s">
        <v>16</v>
      </c>
      <c r="C665" s="1852" t="s">
        <v>3123</v>
      </c>
      <c r="D665" s="1852" t="s">
        <v>3124</v>
      </c>
      <c r="E665" s="1852" t="s">
        <v>3125</v>
      </c>
      <c r="F665" s="1852" t="s">
        <v>3126</v>
      </c>
      <c r="G665" s="1852" t="s">
        <v>3127</v>
      </c>
      <c r="H665" s="1852" t="s">
        <v>22</v>
      </c>
      <c r="I665" s="1852" t="s">
        <v>907</v>
      </c>
    </row>
    <row customHeight="1" ht="11.25">
      <c r="A666" s="1852" t="s">
        <v>2246</v>
      </c>
      <c r="B666" s="1852" t="s">
        <v>16</v>
      </c>
      <c r="C666" s="1852" t="s">
        <v>3133</v>
      </c>
      <c r="D666" s="1852" t="s">
        <v>3134</v>
      </c>
      <c r="E666" s="1852" t="s">
        <v>3135</v>
      </c>
      <c r="F666" s="1852" t="s">
        <v>3136</v>
      </c>
      <c r="G666" s="1852" t="s">
        <v>22</v>
      </c>
      <c r="H666" s="1852" t="s">
        <v>22</v>
      </c>
      <c r="I666" s="1852" t="s">
        <v>907</v>
      </c>
    </row>
    <row customHeight="1" ht="11.25">
      <c r="A667" s="1852" t="s">
        <v>2246</v>
      </c>
      <c r="B667" s="1852" t="s">
        <v>16</v>
      </c>
      <c r="C667" s="1852" t="s">
        <v>3137</v>
      </c>
      <c r="D667" s="1852" t="s">
        <v>3138</v>
      </c>
      <c r="E667" s="1852" t="s">
        <v>3135</v>
      </c>
      <c r="F667" s="1852" t="s">
        <v>3139</v>
      </c>
      <c r="G667" s="1852" t="s">
        <v>22</v>
      </c>
      <c r="H667" s="1852" t="s">
        <v>22</v>
      </c>
      <c r="I667" s="1852" t="s">
        <v>907</v>
      </c>
    </row>
    <row customHeight="1" ht="11.25">
      <c r="A668" s="1852" t="s">
        <v>2246</v>
      </c>
      <c r="B668" s="1852" t="s">
        <v>16</v>
      </c>
      <c r="C668" s="1852" t="s">
        <v>3396</v>
      </c>
      <c r="D668" s="1852" t="s">
        <v>3397</v>
      </c>
      <c r="E668" s="1852" t="s">
        <v>3398</v>
      </c>
      <c r="F668" s="1852" t="s">
        <v>2534</v>
      </c>
      <c r="G668" s="1852" t="s">
        <v>22</v>
      </c>
      <c r="H668" s="1852" t="s">
        <v>22</v>
      </c>
      <c r="I668" s="1852" t="s">
        <v>907</v>
      </c>
    </row>
    <row customHeight="1" ht="11.25">
      <c r="A669" s="1852" t="s">
        <v>2246</v>
      </c>
      <c r="B669" s="1852" t="s">
        <v>16</v>
      </c>
      <c r="C669" s="1852" t="s">
        <v>3140</v>
      </c>
      <c r="D669" s="1852" t="s">
        <v>3141</v>
      </c>
      <c r="E669" s="1852" t="s">
        <v>3142</v>
      </c>
      <c r="F669" s="1852" t="s">
        <v>2333</v>
      </c>
      <c r="G669" s="1852" t="s">
        <v>22</v>
      </c>
      <c r="H669" s="1852" t="s">
        <v>22</v>
      </c>
      <c r="I669" s="1852" t="s">
        <v>907</v>
      </c>
    </row>
    <row customHeight="1" ht="11.25">
      <c r="A670" s="1852" t="s">
        <v>2246</v>
      </c>
      <c r="B670" s="1852" t="s">
        <v>16</v>
      </c>
      <c r="C670" s="1852" t="s">
        <v>3399</v>
      </c>
      <c r="D670" s="1852" t="s">
        <v>3400</v>
      </c>
      <c r="E670" s="1852" t="s">
        <v>3401</v>
      </c>
      <c r="F670" s="1852" t="s">
        <v>2326</v>
      </c>
      <c r="G670" s="1852" t="s">
        <v>22</v>
      </c>
      <c r="H670" s="1852" t="s">
        <v>22</v>
      </c>
      <c r="I670" s="1852" t="s">
        <v>1618</v>
      </c>
    </row>
    <row customHeight="1" ht="11.25">
      <c r="A671" s="1852" t="s">
        <v>2246</v>
      </c>
      <c r="B671" s="1852" t="s">
        <v>16</v>
      </c>
      <c r="C671" s="1852" t="s">
        <v>22</v>
      </c>
      <c r="D671" s="1852" t="s">
        <v>2440</v>
      </c>
      <c r="E671" s="1852" t="s">
        <v>2441</v>
      </c>
      <c r="F671" s="1852" t="s">
        <v>2274</v>
      </c>
      <c r="G671" s="1852" t="s">
        <v>22</v>
      </c>
      <c r="H671" s="1852" t="s">
        <v>22</v>
      </c>
      <c r="I671" s="1852" t="s">
        <v>1618</v>
      </c>
    </row>
    <row customHeight="1" ht="11.25">
      <c r="A672" s="1852" t="s">
        <v>2246</v>
      </c>
      <c r="B672" s="1852" t="s">
        <v>16</v>
      </c>
      <c r="C672" s="1852" t="s">
        <v>3402</v>
      </c>
      <c r="D672" s="1852" t="s">
        <v>3403</v>
      </c>
      <c r="E672" s="1852" t="s">
        <v>3404</v>
      </c>
      <c r="F672" s="1852" t="s">
        <v>575</v>
      </c>
      <c r="G672" s="1852" t="s">
        <v>22</v>
      </c>
      <c r="H672" s="1852" t="s">
        <v>22</v>
      </c>
      <c r="I672" s="1852" t="s">
        <v>1618</v>
      </c>
    </row>
    <row customHeight="1" ht="11.25">
      <c r="A673" s="1852" t="s">
        <v>2246</v>
      </c>
      <c r="B673" s="1852" t="s">
        <v>16</v>
      </c>
      <c r="C673" s="1852" t="s">
        <v>3214</v>
      </c>
      <c r="D673" s="1852" t="s">
        <v>3215</v>
      </c>
      <c r="E673" s="1852" t="s">
        <v>3216</v>
      </c>
      <c r="F673" s="1852" t="s">
        <v>2759</v>
      </c>
      <c r="G673" s="1852" t="s">
        <v>22</v>
      </c>
      <c r="H673" s="1852" t="s">
        <v>22</v>
      </c>
      <c r="I673" s="1852" t="s">
        <v>1618</v>
      </c>
    </row>
    <row customHeight="1" ht="11.25">
      <c r="A674" s="1852" t="s">
        <v>2246</v>
      </c>
      <c r="B674" s="1852" t="s">
        <v>16</v>
      </c>
      <c r="C674" s="1852" t="s">
        <v>3217</v>
      </c>
      <c r="D674" s="1852" t="s">
        <v>3218</v>
      </c>
      <c r="E674" s="1852" t="s">
        <v>3219</v>
      </c>
      <c r="F674" s="1852" t="s">
        <v>2477</v>
      </c>
      <c r="G674" s="1852" t="s">
        <v>22</v>
      </c>
      <c r="H674" s="1852" t="s">
        <v>22</v>
      </c>
      <c r="I674" s="1852" t="s">
        <v>1618</v>
      </c>
    </row>
    <row customHeight="1" ht="11.25">
      <c r="A675" s="1852" t="s">
        <v>2246</v>
      </c>
      <c r="B675" s="1852" t="s">
        <v>16</v>
      </c>
      <c r="C675" s="1852" t="s">
        <v>3405</v>
      </c>
      <c r="D675" s="1852" t="s">
        <v>3406</v>
      </c>
      <c r="E675" s="1852" t="s">
        <v>3407</v>
      </c>
      <c r="F675" s="1852" t="s">
        <v>2365</v>
      </c>
      <c r="G675" s="1852" t="s">
        <v>22</v>
      </c>
      <c r="H675" s="1852" t="s">
        <v>22</v>
      </c>
      <c r="I675" s="1852" t="s">
        <v>1618</v>
      </c>
    </row>
    <row customHeight="1" ht="11.25">
      <c r="A676" s="1852" t="s">
        <v>2246</v>
      </c>
      <c r="B676" s="1852" t="s">
        <v>16</v>
      </c>
      <c r="C676" s="1852" t="s">
        <v>3408</v>
      </c>
      <c r="D676" s="1852" t="s">
        <v>3409</v>
      </c>
      <c r="E676" s="1852" t="s">
        <v>3410</v>
      </c>
      <c r="F676" s="1852" t="s">
        <v>2250</v>
      </c>
      <c r="G676" s="1852" t="s">
        <v>3411</v>
      </c>
      <c r="H676" s="1852" t="s">
        <v>2382</v>
      </c>
      <c r="I676" s="1852" t="s">
        <v>1618</v>
      </c>
    </row>
    <row customHeight="1" ht="11.25">
      <c r="A677" s="1852" t="s">
        <v>2246</v>
      </c>
      <c r="B677" s="1852" t="s">
        <v>16</v>
      </c>
      <c r="C677" s="1852" t="s">
        <v>3234</v>
      </c>
      <c r="D677" s="1852" t="s">
        <v>3235</v>
      </c>
      <c r="E677" s="1852" t="s">
        <v>3236</v>
      </c>
      <c r="F677" s="1852" t="s">
        <v>2541</v>
      </c>
      <c r="G677" s="1852" t="s">
        <v>22</v>
      </c>
      <c r="H677" s="1852" t="s">
        <v>22</v>
      </c>
      <c r="I677" s="1852" t="s">
        <v>1618</v>
      </c>
    </row>
    <row customHeight="1" ht="11.25">
      <c r="A678" s="1852" t="s">
        <v>2246</v>
      </c>
      <c r="B678" s="1852" t="s">
        <v>16</v>
      </c>
      <c r="C678" s="1852" t="s">
        <v>3412</v>
      </c>
      <c r="D678" s="1852" t="s">
        <v>3413</v>
      </c>
      <c r="E678" s="1852" t="s">
        <v>3414</v>
      </c>
      <c r="F678" s="1852" t="s">
        <v>2592</v>
      </c>
      <c r="G678" s="1852" t="s">
        <v>3415</v>
      </c>
      <c r="H678" s="1852" t="s">
        <v>22</v>
      </c>
      <c r="I678" s="1852" t="s">
        <v>1618</v>
      </c>
    </row>
    <row customHeight="1" ht="11.25">
      <c r="A679" s="1852" t="s">
        <v>2246</v>
      </c>
      <c r="B679" s="1852" t="s">
        <v>16</v>
      </c>
      <c r="C679" s="1852" t="s">
        <v>3416</v>
      </c>
      <c r="D679" s="1852" t="s">
        <v>3417</v>
      </c>
      <c r="E679" s="1852" t="s">
        <v>3418</v>
      </c>
      <c r="F679" s="1852" t="s">
        <v>2259</v>
      </c>
      <c r="G679" s="1852" t="s">
        <v>22</v>
      </c>
      <c r="H679" s="1852" t="s">
        <v>22</v>
      </c>
      <c r="I679" s="1852" t="s">
        <v>1618</v>
      </c>
    </row>
    <row customHeight="1" ht="11.25">
      <c r="A680" s="1852" t="s">
        <v>2246</v>
      </c>
      <c r="B680" s="1852" t="s">
        <v>16</v>
      </c>
      <c r="C680" s="1852" t="s">
        <v>2615</v>
      </c>
      <c r="D680" s="1852" t="s">
        <v>2616</v>
      </c>
      <c r="E680" s="1852" t="s">
        <v>2617</v>
      </c>
      <c r="F680" s="1852" t="s">
        <v>2618</v>
      </c>
      <c r="G680" s="1852" t="s">
        <v>2619</v>
      </c>
      <c r="H680" s="1852" t="s">
        <v>22</v>
      </c>
      <c r="I680" s="1852" t="s">
        <v>1618</v>
      </c>
    </row>
    <row customHeight="1" ht="11.25">
      <c r="A681" s="1852" t="s">
        <v>2246</v>
      </c>
      <c r="B681" s="1852" t="s">
        <v>16</v>
      </c>
      <c r="C681" s="1852" t="s">
        <v>2620</v>
      </c>
      <c r="D681" s="1852" t="s">
        <v>2621</v>
      </c>
      <c r="E681" s="1852" t="s">
        <v>2622</v>
      </c>
      <c r="F681" s="1852" t="s">
        <v>2623</v>
      </c>
      <c r="G681" s="1852" t="s">
        <v>22</v>
      </c>
      <c r="H681" s="1852" t="s">
        <v>22</v>
      </c>
      <c r="I681" s="1852" t="s">
        <v>1618</v>
      </c>
    </row>
    <row customHeight="1" ht="11.25">
      <c r="A682" s="1852" t="s">
        <v>2246</v>
      </c>
      <c r="B682" s="1852" t="s">
        <v>16</v>
      </c>
      <c r="C682" s="1852" t="s">
        <v>2639</v>
      </c>
      <c r="D682" s="1852" t="s">
        <v>2640</v>
      </c>
      <c r="E682" s="1852" t="s">
        <v>2641</v>
      </c>
      <c r="F682" s="1852" t="s">
        <v>2554</v>
      </c>
      <c r="G682" s="1852" t="s">
        <v>2642</v>
      </c>
      <c r="H682" s="1852" t="s">
        <v>2643</v>
      </c>
      <c r="I682" s="1852" t="s">
        <v>1618</v>
      </c>
    </row>
    <row customHeight="1" ht="11.25">
      <c r="A683" s="1852" t="s">
        <v>2246</v>
      </c>
      <c r="B683" s="1852" t="s">
        <v>16</v>
      </c>
      <c r="C683" s="1852" t="s">
        <v>2662</v>
      </c>
      <c r="D683" s="1852" t="s">
        <v>2663</v>
      </c>
      <c r="E683" s="1852" t="s">
        <v>2664</v>
      </c>
      <c r="F683" s="1852" t="s">
        <v>2318</v>
      </c>
      <c r="G683" s="1852" t="s">
        <v>2665</v>
      </c>
      <c r="H683" s="1852" t="s">
        <v>22</v>
      </c>
      <c r="I683" s="1852" t="s">
        <v>1618</v>
      </c>
    </row>
    <row customHeight="1" ht="11.25">
      <c r="A684" s="1852" t="s">
        <v>2246</v>
      </c>
      <c r="B684" s="1852" t="s">
        <v>16</v>
      </c>
      <c r="C684" s="1852" t="s">
        <v>3267</v>
      </c>
      <c r="D684" s="1852" t="s">
        <v>3268</v>
      </c>
      <c r="E684" s="1852" t="s">
        <v>3269</v>
      </c>
      <c r="F684" s="1852" t="s">
        <v>2477</v>
      </c>
      <c r="G684" s="1852" t="s">
        <v>22</v>
      </c>
      <c r="H684" s="1852" t="s">
        <v>22</v>
      </c>
      <c r="I684" s="1852" t="s">
        <v>1618</v>
      </c>
    </row>
    <row customHeight="1" ht="11.25">
      <c r="A685" s="1852" t="s">
        <v>2246</v>
      </c>
      <c r="B685" s="1852" t="s">
        <v>16</v>
      </c>
      <c r="C685" s="1852" t="s">
        <v>3419</v>
      </c>
      <c r="D685" s="1852" t="s">
        <v>3420</v>
      </c>
      <c r="E685" s="1852" t="s">
        <v>3421</v>
      </c>
      <c r="F685" s="1852" t="s">
        <v>2534</v>
      </c>
      <c r="G685" s="1852" t="s">
        <v>22</v>
      </c>
      <c r="H685" s="1852" t="s">
        <v>22</v>
      </c>
      <c r="I685" s="1852" t="s">
        <v>1618</v>
      </c>
    </row>
    <row customHeight="1" ht="11.25">
      <c r="A686" s="1852" t="s">
        <v>2246</v>
      </c>
      <c r="B686" s="1852" t="s">
        <v>16</v>
      </c>
      <c r="C686" s="1852" t="s">
        <v>3422</v>
      </c>
      <c r="D686" s="1852" t="s">
        <v>3423</v>
      </c>
      <c r="E686" s="1852" t="s">
        <v>3424</v>
      </c>
      <c r="F686" s="1852" t="s">
        <v>2515</v>
      </c>
      <c r="G686" s="1852" t="s">
        <v>22</v>
      </c>
      <c r="H686" s="1852" t="s">
        <v>22</v>
      </c>
      <c r="I686" s="1852" t="s">
        <v>1618</v>
      </c>
    </row>
    <row customHeight="1" ht="11.25">
      <c r="A687" s="1852" t="s">
        <v>2246</v>
      </c>
      <c r="B687" s="1852" t="s">
        <v>16</v>
      </c>
      <c r="C687" s="1852" t="s">
        <v>3425</v>
      </c>
      <c r="D687" s="1852" t="s">
        <v>3426</v>
      </c>
      <c r="E687" s="1852" t="s">
        <v>3427</v>
      </c>
      <c r="F687" s="1852" t="s">
        <v>2554</v>
      </c>
      <c r="G687" s="1852" t="s">
        <v>22</v>
      </c>
      <c r="H687" s="1852" t="s">
        <v>22</v>
      </c>
      <c r="I687" s="1852" t="s">
        <v>1618</v>
      </c>
    </row>
    <row customHeight="1" ht="11.25">
      <c r="A688" s="1852" t="s">
        <v>2246</v>
      </c>
      <c r="B688" s="1852" t="s">
        <v>16</v>
      </c>
      <c r="C688" s="1852" t="s">
        <v>3274</v>
      </c>
      <c r="D688" s="1852" t="s">
        <v>3275</v>
      </c>
      <c r="E688" s="1852" t="s">
        <v>3276</v>
      </c>
      <c r="F688" s="1852" t="s">
        <v>2318</v>
      </c>
      <c r="G688" s="1852" t="s">
        <v>22</v>
      </c>
      <c r="H688" s="1852" t="s">
        <v>22</v>
      </c>
      <c r="I688" s="1852" t="s">
        <v>1618</v>
      </c>
    </row>
    <row customHeight="1" ht="11.25">
      <c r="A689" s="1852" t="s">
        <v>2246</v>
      </c>
      <c r="B689" s="1852" t="s">
        <v>16</v>
      </c>
      <c r="C689" s="1852" t="s">
        <v>3376</v>
      </c>
      <c r="D689" s="1852" t="s">
        <v>3377</v>
      </c>
      <c r="E689" s="1852" t="s">
        <v>3378</v>
      </c>
      <c r="F689" s="1852" t="s">
        <v>2369</v>
      </c>
      <c r="G689" s="1852" t="s">
        <v>22</v>
      </c>
      <c r="H689" s="1852" t="s">
        <v>22</v>
      </c>
      <c r="I689" s="1852" t="s">
        <v>1618</v>
      </c>
    </row>
    <row customHeight="1" ht="11.25">
      <c r="A690" s="1852" t="s">
        <v>2246</v>
      </c>
      <c r="B690" s="1852" t="s">
        <v>16</v>
      </c>
      <c r="C690" s="1852" t="s">
        <v>3428</v>
      </c>
      <c r="D690" s="1852" t="s">
        <v>3429</v>
      </c>
      <c r="E690" s="1852" t="s">
        <v>3430</v>
      </c>
      <c r="F690" s="1852" t="s">
        <v>2365</v>
      </c>
      <c r="G690" s="1852" t="s">
        <v>3431</v>
      </c>
      <c r="H690" s="1852" t="s">
        <v>22</v>
      </c>
      <c r="I690" s="1852" t="s">
        <v>1618</v>
      </c>
    </row>
    <row customHeight="1" ht="11.25">
      <c r="A691" s="1852" t="s">
        <v>2246</v>
      </c>
      <c r="B691" s="1852" t="s">
        <v>16</v>
      </c>
      <c r="C691" s="1852" t="s">
        <v>3294</v>
      </c>
      <c r="D691" s="1852" t="s">
        <v>3295</v>
      </c>
      <c r="E691" s="1852" t="s">
        <v>3296</v>
      </c>
      <c r="F691" s="1852" t="s">
        <v>2546</v>
      </c>
      <c r="G691" s="1852" t="s">
        <v>3297</v>
      </c>
      <c r="H691" s="1852" t="s">
        <v>22</v>
      </c>
      <c r="I691" s="1852" t="s">
        <v>1618</v>
      </c>
    </row>
    <row customHeight="1" ht="11.25">
      <c r="A692" s="1852" t="s">
        <v>2246</v>
      </c>
      <c r="B692" s="1852" t="s">
        <v>16</v>
      </c>
      <c r="C692" s="1852" t="s">
        <v>2808</v>
      </c>
      <c r="D692" s="1852" t="s">
        <v>2809</v>
      </c>
      <c r="E692" s="1852" t="s">
        <v>2810</v>
      </c>
      <c r="F692" s="1852" t="s">
        <v>2250</v>
      </c>
      <c r="G692" s="1852" t="s">
        <v>22</v>
      </c>
      <c r="H692" s="1852" t="s">
        <v>22</v>
      </c>
      <c r="I692" s="1852" t="s">
        <v>1618</v>
      </c>
    </row>
    <row customHeight="1" ht="11.25">
      <c r="A693" s="1852" t="s">
        <v>2246</v>
      </c>
      <c r="B693" s="1852" t="s">
        <v>16</v>
      </c>
      <c r="C693" s="1852" t="s">
        <v>3432</v>
      </c>
      <c r="D693" s="1852" t="s">
        <v>3433</v>
      </c>
      <c r="E693" s="1852" t="s">
        <v>3434</v>
      </c>
      <c r="F693" s="1852" t="s">
        <v>2623</v>
      </c>
      <c r="G693" s="1852" t="s">
        <v>2670</v>
      </c>
      <c r="H693" s="1852" t="s">
        <v>22</v>
      </c>
      <c r="I693" s="1852" t="s">
        <v>1618</v>
      </c>
    </row>
    <row customHeight="1" ht="11.25">
      <c r="A694" s="1852" t="s">
        <v>2246</v>
      </c>
      <c r="B694" s="1852" t="s">
        <v>16</v>
      </c>
      <c r="C694" s="1852" t="s">
        <v>3306</v>
      </c>
      <c r="D694" s="1852" t="s">
        <v>3307</v>
      </c>
      <c r="E694" s="1852" t="s">
        <v>3308</v>
      </c>
      <c r="F694" s="1852" t="s">
        <v>2834</v>
      </c>
      <c r="G694" s="1852" t="s">
        <v>22</v>
      </c>
      <c r="H694" s="1852" t="s">
        <v>22</v>
      </c>
      <c r="I694" s="1852" t="s">
        <v>1618</v>
      </c>
    </row>
    <row customHeight="1" ht="11.25">
      <c r="A695" s="1852" t="s">
        <v>2246</v>
      </c>
      <c r="B695" s="1852" t="s">
        <v>16</v>
      </c>
      <c r="C695" s="1852" t="s">
        <v>3435</v>
      </c>
      <c r="D695" s="1852" t="s">
        <v>3436</v>
      </c>
      <c r="E695" s="1852" t="s">
        <v>3437</v>
      </c>
      <c r="F695" s="1852" t="s">
        <v>2333</v>
      </c>
      <c r="G695" s="1852" t="s">
        <v>22</v>
      </c>
      <c r="H695" s="1852" t="s">
        <v>22</v>
      </c>
      <c r="I695" s="1852" t="s">
        <v>1618</v>
      </c>
    </row>
    <row customHeight="1" ht="11.25">
      <c r="A696" s="1852" t="s">
        <v>2246</v>
      </c>
      <c r="B696" s="1852" t="s">
        <v>16</v>
      </c>
      <c r="C696" s="1852" t="s">
        <v>2880</v>
      </c>
      <c r="D696" s="1852" t="s">
        <v>2881</v>
      </c>
      <c r="E696" s="1852" t="s">
        <v>2882</v>
      </c>
      <c r="F696" s="1852" t="s">
        <v>2259</v>
      </c>
      <c r="G696" s="1852" t="s">
        <v>2520</v>
      </c>
      <c r="H696" s="1852" t="s">
        <v>22</v>
      </c>
      <c r="I696" s="1852" t="s">
        <v>1618</v>
      </c>
    </row>
    <row customHeight="1" ht="11.25">
      <c r="A697" s="1852" t="s">
        <v>2246</v>
      </c>
      <c r="B697" s="1852" t="s">
        <v>16</v>
      </c>
      <c r="C697" s="1852" t="s">
        <v>3438</v>
      </c>
      <c r="D697" s="1852" t="s">
        <v>3439</v>
      </c>
      <c r="E697" s="1852" t="s">
        <v>3440</v>
      </c>
      <c r="F697" s="1852" t="s">
        <v>2351</v>
      </c>
      <c r="G697" s="1852" t="s">
        <v>2596</v>
      </c>
      <c r="H697" s="1852" t="s">
        <v>22</v>
      </c>
      <c r="I697" s="1852" t="s">
        <v>1618</v>
      </c>
    </row>
    <row customHeight="1" ht="11.25">
      <c r="A698" s="1852" t="s">
        <v>2246</v>
      </c>
      <c r="B698" s="1852" t="s">
        <v>16</v>
      </c>
      <c r="C698" s="1852" t="s">
        <v>3441</v>
      </c>
      <c r="D698" s="1852" t="s">
        <v>3442</v>
      </c>
      <c r="E698" s="1852" t="s">
        <v>3443</v>
      </c>
      <c r="F698" s="1852" t="s">
        <v>2524</v>
      </c>
      <c r="G698" s="1852" t="s">
        <v>3444</v>
      </c>
      <c r="H698" s="1852" t="s">
        <v>22</v>
      </c>
      <c r="I698" s="1852" t="s">
        <v>1618</v>
      </c>
    </row>
    <row customHeight="1" ht="11.25">
      <c r="A699" s="1852" t="s">
        <v>2246</v>
      </c>
      <c r="B699" s="1852" t="s">
        <v>16</v>
      </c>
      <c r="C699" s="1852" t="s">
        <v>2941</v>
      </c>
      <c r="D699" s="1852" t="s">
        <v>2942</v>
      </c>
      <c r="E699" s="1852" t="s">
        <v>2943</v>
      </c>
      <c r="F699" s="1852" t="s">
        <v>2669</v>
      </c>
      <c r="G699" s="1852" t="s">
        <v>22</v>
      </c>
      <c r="H699" s="1852" t="s">
        <v>22</v>
      </c>
      <c r="I699" s="1852" t="s">
        <v>1618</v>
      </c>
    </row>
    <row customHeight="1" ht="11.25">
      <c r="A700" s="1852" t="s">
        <v>2246</v>
      </c>
      <c r="B700" s="1852" t="s">
        <v>16</v>
      </c>
      <c r="C700" s="1852" t="s">
        <v>3445</v>
      </c>
      <c r="D700" s="1852" t="s">
        <v>3446</v>
      </c>
      <c r="E700" s="1852" t="s">
        <v>3447</v>
      </c>
      <c r="F700" s="1852" t="s">
        <v>2494</v>
      </c>
      <c r="G700" s="1852" t="s">
        <v>3448</v>
      </c>
      <c r="H700" s="1852" t="s">
        <v>22</v>
      </c>
      <c r="I700" s="1852" t="s">
        <v>1618</v>
      </c>
    </row>
    <row customHeight="1" ht="11.25">
      <c r="A701" s="1852" t="s">
        <v>2246</v>
      </c>
      <c r="B701" s="1852" t="s">
        <v>16</v>
      </c>
      <c r="C701" s="1852" t="s">
        <v>3449</v>
      </c>
      <c r="D701" s="1852" t="s">
        <v>3450</v>
      </c>
      <c r="E701" s="1852" t="s">
        <v>3451</v>
      </c>
      <c r="F701" s="1852" t="s">
        <v>2341</v>
      </c>
      <c r="G701" s="1852" t="s">
        <v>3452</v>
      </c>
      <c r="H701" s="1852" t="s">
        <v>22</v>
      </c>
      <c r="I701" s="1852" t="s">
        <v>1618</v>
      </c>
    </row>
    <row customHeight="1" ht="11.25">
      <c r="A702" s="1852" t="s">
        <v>2246</v>
      </c>
      <c r="B702" s="1852" t="s">
        <v>16</v>
      </c>
      <c r="C702" s="1852" t="s">
        <v>3453</v>
      </c>
      <c r="D702" s="1852" t="s">
        <v>3454</v>
      </c>
      <c r="E702" s="1852" t="s">
        <v>3455</v>
      </c>
      <c r="F702" s="1852" t="s">
        <v>2369</v>
      </c>
      <c r="G702" s="1852" t="s">
        <v>3456</v>
      </c>
      <c r="H702" s="1852" t="s">
        <v>22</v>
      </c>
      <c r="I702" s="1852" t="s">
        <v>1618</v>
      </c>
    </row>
    <row customHeight="1" ht="11.25">
      <c r="A703" s="1852" t="s">
        <v>2246</v>
      </c>
      <c r="B703" s="1852" t="s">
        <v>16</v>
      </c>
      <c r="C703" s="1852" t="s">
        <v>3457</v>
      </c>
      <c r="D703" s="1852" t="s">
        <v>3458</v>
      </c>
      <c r="E703" s="1852" t="s">
        <v>3459</v>
      </c>
      <c r="F703" s="1852" t="s">
        <v>2326</v>
      </c>
      <c r="G703" s="1852" t="s">
        <v>3460</v>
      </c>
      <c r="H703" s="1852" t="s">
        <v>22</v>
      </c>
      <c r="I703" s="1852" t="s">
        <v>1618</v>
      </c>
    </row>
    <row customHeight="1" ht="11.25">
      <c r="A704" s="1852" t="s">
        <v>2246</v>
      </c>
      <c r="B704" s="1852" t="s">
        <v>16</v>
      </c>
      <c r="C704" s="1852" t="s">
        <v>3461</v>
      </c>
      <c r="D704" s="1852" t="s">
        <v>3462</v>
      </c>
      <c r="E704" s="1852" t="s">
        <v>3463</v>
      </c>
      <c r="F704" s="1852" t="s">
        <v>2333</v>
      </c>
      <c r="G704" s="1852" t="s">
        <v>22</v>
      </c>
      <c r="H704" s="1852" t="s">
        <v>22</v>
      </c>
      <c r="I704" s="1852" t="s">
        <v>1618</v>
      </c>
    </row>
    <row customHeight="1" ht="11.25">
      <c r="A705" s="1852" t="s">
        <v>2246</v>
      </c>
      <c r="B705" s="1852" t="s">
        <v>16</v>
      </c>
      <c r="C705" s="1852" t="s">
        <v>3464</v>
      </c>
      <c r="D705" s="1852" t="s">
        <v>3465</v>
      </c>
      <c r="E705" s="1852" t="s">
        <v>3466</v>
      </c>
      <c r="F705" s="1852" t="s">
        <v>2318</v>
      </c>
      <c r="G705" s="1852" t="s">
        <v>22</v>
      </c>
      <c r="H705" s="1852" t="s">
        <v>22</v>
      </c>
      <c r="I705" s="1852" t="s">
        <v>1618</v>
      </c>
    </row>
    <row customHeight="1" ht="11.25">
      <c r="A706" s="1852" t="s">
        <v>2246</v>
      </c>
      <c r="B706" s="1852" t="s">
        <v>16</v>
      </c>
      <c r="C706" s="1852" t="s">
        <v>3467</v>
      </c>
      <c r="D706" s="1852" t="s">
        <v>3468</v>
      </c>
      <c r="E706" s="1852" t="s">
        <v>3469</v>
      </c>
      <c r="F706" s="1852" t="s">
        <v>2274</v>
      </c>
      <c r="G706" s="1852" t="s">
        <v>22</v>
      </c>
      <c r="H706" s="1852" t="s">
        <v>22</v>
      </c>
      <c r="I706" s="1852" t="s">
        <v>1618</v>
      </c>
    </row>
    <row customHeight="1" ht="11.25">
      <c r="A707" s="1852" t="s">
        <v>2246</v>
      </c>
      <c r="B707" s="1852" t="s">
        <v>16</v>
      </c>
      <c r="C707" s="1852" t="s">
        <v>3073</v>
      </c>
      <c r="D707" s="1852" t="s">
        <v>3074</v>
      </c>
      <c r="E707" s="1852" t="s">
        <v>3075</v>
      </c>
      <c r="F707" s="1852" t="s">
        <v>2588</v>
      </c>
      <c r="G707" s="1852" t="s">
        <v>3076</v>
      </c>
      <c r="H707" s="1852" t="s">
        <v>22</v>
      </c>
      <c r="I707" s="1852" t="s">
        <v>1618</v>
      </c>
    </row>
    <row customHeight="1" ht="11.25">
      <c r="A708" s="1852" t="s">
        <v>2246</v>
      </c>
      <c r="B708" s="1852" t="s">
        <v>16</v>
      </c>
      <c r="C708" s="1852" t="s">
        <v>3470</v>
      </c>
      <c r="D708" s="1852" t="s">
        <v>3471</v>
      </c>
      <c r="E708" s="1852" t="s">
        <v>3472</v>
      </c>
      <c r="F708" s="1852" t="s">
        <v>2326</v>
      </c>
      <c r="G708" s="1852" t="s">
        <v>3473</v>
      </c>
      <c r="H708" s="1852" t="s">
        <v>22</v>
      </c>
      <c r="I708" s="1852" t="s">
        <v>1618</v>
      </c>
    </row>
    <row customHeight="1" ht="11.25">
      <c r="A709" s="1852" t="s">
        <v>2246</v>
      </c>
      <c r="B709" s="1852" t="s">
        <v>16</v>
      </c>
      <c r="C709" s="1852" t="s">
        <v>3474</v>
      </c>
      <c r="D709" s="1852" t="s">
        <v>3475</v>
      </c>
      <c r="E709" s="1852" t="s">
        <v>3476</v>
      </c>
      <c r="F709" s="1852" t="s">
        <v>2351</v>
      </c>
      <c r="G709" s="1852" t="s">
        <v>3477</v>
      </c>
      <c r="H709" s="1852" t="s">
        <v>22</v>
      </c>
      <c r="I709" s="1852" t="s">
        <v>1618</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A4343B-C39C-2AAD-4AF8-522F344E1473}" mc:Ignorable="x14ac xr xr2 xr3">
  <sheetPr>
    <tabColor rgb="FFFFCC99"/>
  </sheetPr>
  <dimension ref="A1:G79"/>
  <sheetViews>
    <sheetView topLeftCell="A1" showGridLines="0" workbookViewId="0">
      <selection activeCell="A1" sqref="A1"/>
    </sheetView>
  </sheetViews>
  <sheetFormatPr customHeight="1" defaultRowHeight="11.25"/>
  <cols>
    <col min="1" max="1" style="1852" width="9.140625"/>
  </cols>
  <sheetData>
    <row customHeight="1" ht="11.25">
      <c r="A1" s="375" t="s">
        <v>3478</v>
      </c>
      <c r="B1" s="66" t="s">
        <v>3479</v>
      </c>
      <c r="C1" s="66" t="s">
        <v>3480</v>
      </c>
      <c r="D1" s="66" t="s">
        <v>3481</v>
      </c>
      <c r="E1" s="64" t="s">
        <v>3482</v>
      </c>
      <c r="F1" s="64" t="s">
        <v>3483</v>
      </c>
      <c r="G1" s="64" t="s">
        <v>3484</v>
      </c>
    </row>
    <row customHeight="1" ht="11.25">
      <c r="A2" s="375" t="s">
        <v>16</v>
      </c>
      <c r="B2" s="0" t="s">
        <v>3485</v>
      </c>
      <c r="C2" s="0" t="s">
        <v>3486</v>
      </c>
      <c r="D2" s="0" t="s">
        <v>3485</v>
      </c>
      <c r="E2" s="0" t="s">
        <v>3486</v>
      </c>
      <c r="F2" s="0" t="s">
        <v>3487</v>
      </c>
      <c r="G2" s="0" t="s">
        <v>109</v>
      </c>
    </row>
    <row customHeight="1" ht="11.25">
      <c r="A3" s="375" t="s">
        <v>16</v>
      </c>
      <c r="B3" s="0" t="s">
        <v>3488</v>
      </c>
      <c r="C3" s="0" t="s">
        <v>3489</v>
      </c>
      <c r="D3" s="0" t="s">
        <v>3488</v>
      </c>
      <c r="E3" s="0" t="s">
        <v>3489</v>
      </c>
      <c r="F3" s="0" t="s">
        <v>3487</v>
      </c>
      <c r="G3" s="0" t="s">
        <v>110</v>
      </c>
    </row>
    <row customHeight="1" ht="11.25">
      <c r="A4" s="375" t="s">
        <v>16</v>
      </c>
      <c r="B4" s="0" t="s">
        <v>3490</v>
      </c>
      <c r="C4" s="0" t="s">
        <v>3491</v>
      </c>
      <c r="D4" s="0" t="s">
        <v>3490</v>
      </c>
      <c r="E4" s="0" t="s">
        <v>3491</v>
      </c>
      <c r="F4" s="0" t="s">
        <v>3487</v>
      </c>
      <c r="G4" s="0" t="s">
        <v>90</v>
      </c>
    </row>
    <row customHeight="1" ht="11.25">
      <c r="A5" s="375" t="s">
        <v>16</v>
      </c>
      <c r="B5" s="0" t="s">
        <v>3492</v>
      </c>
      <c r="C5" s="0" t="s">
        <v>3493</v>
      </c>
      <c r="D5" s="0" t="s">
        <v>3492</v>
      </c>
      <c r="E5" s="0" t="s">
        <v>3493</v>
      </c>
      <c r="F5" s="0" t="s">
        <v>3487</v>
      </c>
      <c r="G5" s="0" t="s">
        <v>91</v>
      </c>
    </row>
    <row customHeight="1" ht="11.25">
      <c r="A6" s="375" t="s">
        <v>16</v>
      </c>
      <c r="B6" s="0" t="s">
        <v>3494</v>
      </c>
      <c r="C6" s="0" t="s">
        <v>3495</v>
      </c>
      <c r="D6" s="0" t="s">
        <v>3496</v>
      </c>
      <c r="E6" s="0" t="s">
        <v>3497</v>
      </c>
      <c r="F6" s="0" t="s">
        <v>3498</v>
      </c>
      <c r="G6" s="0" t="s">
        <v>111</v>
      </c>
    </row>
    <row customHeight="1" ht="11.25">
      <c r="A7" s="375" t="s">
        <v>16</v>
      </c>
      <c r="B7" s="0" t="s">
        <v>3494</v>
      </c>
      <c r="C7" s="0" t="s">
        <v>3495</v>
      </c>
      <c r="D7" s="0" t="s">
        <v>3494</v>
      </c>
      <c r="E7" s="0" t="s">
        <v>3495</v>
      </c>
      <c r="F7" s="0" t="s">
        <v>3499</v>
      </c>
      <c r="G7" s="0" t="s">
        <v>92</v>
      </c>
    </row>
    <row customHeight="1" ht="11.25">
      <c r="A8" s="375" t="s">
        <v>16</v>
      </c>
      <c r="B8" s="0" t="s">
        <v>3494</v>
      </c>
      <c r="C8" s="0" t="s">
        <v>3495</v>
      </c>
      <c r="D8" s="0" t="s">
        <v>3500</v>
      </c>
      <c r="E8" s="0" t="s">
        <v>3501</v>
      </c>
      <c r="F8" s="0" t="s">
        <v>3498</v>
      </c>
      <c r="G8" s="0" t="s">
        <v>93</v>
      </c>
    </row>
    <row customHeight="1" ht="11.25">
      <c r="A9" s="375" t="s">
        <v>16</v>
      </c>
      <c r="B9" s="0" t="s">
        <v>3494</v>
      </c>
      <c r="C9" s="0" t="s">
        <v>3495</v>
      </c>
      <c r="D9" s="0" t="s">
        <v>3502</v>
      </c>
      <c r="E9" s="0" t="s">
        <v>3503</v>
      </c>
      <c r="F9" s="0" t="s">
        <v>3498</v>
      </c>
      <c r="G9" s="0" t="s">
        <v>112</v>
      </c>
    </row>
    <row customHeight="1" ht="11.25">
      <c r="A10" s="375" t="s">
        <v>16</v>
      </c>
      <c r="B10" s="0" t="s">
        <v>3504</v>
      </c>
      <c r="C10" s="0" t="s">
        <v>3505</v>
      </c>
      <c r="D10" s="0" t="s">
        <v>3504</v>
      </c>
      <c r="E10" s="0" t="s">
        <v>3505</v>
      </c>
      <c r="F10" s="0" t="s">
        <v>3487</v>
      </c>
      <c r="G10" s="0" t="s">
        <v>150</v>
      </c>
    </row>
    <row customHeight="1" ht="11.25">
      <c r="A11" s="375" t="s">
        <v>16</v>
      </c>
      <c r="B11" s="0" t="s">
        <v>3506</v>
      </c>
      <c r="C11" s="0" t="s">
        <v>3507</v>
      </c>
      <c r="D11" s="0" t="s">
        <v>3506</v>
      </c>
      <c r="E11" s="0" t="s">
        <v>3507</v>
      </c>
      <c r="F11" s="0" t="s">
        <v>3487</v>
      </c>
      <c r="G11" s="0" t="s">
        <v>151</v>
      </c>
    </row>
    <row customHeight="1" ht="11.25">
      <c r="A12" s="375" t="s">
        <v>16</v>
      </c>
      <c r="B12" s="0" t="s">
        <v>3508</v>
      </c>
      <c r="C12" s="0" t="s">
        <v>3509</v>
      </c>
      <c r="D12" s="0" t="s">
        <v>3508</v>
      </c>
      <c r="E12" s="0" t="s">
        <v>3509</v>
      </c>
      <c r="F12" s="0" t="s">
        <v>3487</v>
      </c>
      <c r="G12" s="0" t="s">
        <v>152</v>
      </c>
    </row>
    <row customHeight="1" ht="11.25">
      <c r="A13" s="375" t="s">
        <v>16</v>
      </c>
      <c r="B13" s="0" t="s">
        <v>3510</v>
      </c>
      <c r="C13" s="0" t="s">
        <v>3511</v>
      </c>
      <c r="D13" s="0" t="s">
        <v>3510</v>
      </c>
      <c r="E13" s="0" t="s">
        <v>3511</v>
      </c>
      <c r="F13" s="0" t="s">
        <v>3487</v>
      </c>
      <c r="G13" s="0" t="s">
        <v>153</v>
      </c>
    </row>
    <row customHeight="1" ht="11.25">
      <c r="A14" s="375" t="s">
        <v>16</v>
      </c>
      <c r="B14" s="0" t="s">
        <v>3512</v>
      </c>
      <c r="C14" s="0" t="s">
        <v>3513</v>
      </c>
      <c r="D14" s="0" t="s">
        <v>3514</v>
      </c>
      <c r="E14" s="0" t="s">
        <v>3515</v>
      </c>
      <c r="F14" s="0" t="s">
        <v>3498</v>
      </c>
      <c r="G14" s="0" t="s">
        <v>154</v>
      </c>
    </row>
    <row customHeight="1" ht="11.25">
      <c r="A15" s="375" t="s">
        <v>16</v>
      </c>
      <c r="B15" s="0" t="s">
        <v>3512</v>
      </c>
      <c r="C15" s="0" t="s">
        <v>3513</v>
      </c>
      <c r="D15" s="0" t="s">
        <v>3516</v>
      </c>
      <c r="E15" s="0" t="s">
        <v>3517</v>
      </c>
      <c r="F15" s="0" t="s">
        <v>3498</v>
      </c>
      <c r="G15" s="0" t="s">
        <v>155</v>
      </c>
    </row>
    <row customHeight="1" ht="11.25">
      <c r="A16" s="375" t="s">
        <v>16</v>
      </c>
      <c r="B16" s="0" t="s">
        <v>3512</v>
      </c>
      <c r="C16" s="0" t="s">
        <v>3513</v>
      </c>
      <c r="D16" s="0" t="s">
        <v>3518</v>
      </c>
      <c r="E16" s="0" t="s">
        <v>3519</v>
      </c>
      <c r="F16" s="0" t="s">
        <v>3498</v>
      </c>
      <c r="G16" s="0" t="s">
        <v>1462</v>
      </c>
    </row>
    <row customHeight="1" ht="11.25">
      <c r="A17" s="375" t="s">
        <v>16</v>
      </c>
      <c r="B17" s="0" t="s">
        <v>3512</v>
      </c>
      <c r="C17" s="0" t="s">
        <v>3513</v>
      </c>
      <c r="D17" s="0" t="s">
        <v>3520</v>
      </c>
      <c r="E17" s="0" t="s">
        <v>3521</v>
      </c>
      <c r="F17" s="0" t="s">
        <v>3498</v>
      </c>
      <c r="G17" s="0" t="s">
        <v>1468</v>
      </c>
    </row>
    <row customHeight="1" ht="11.25">
      <c r="A18" s="375" t="s">
        <v>16</v>
      </c>
      <c r="B18" s="0" t="s">
        <v>3512</v>
      </c>
      <c r="C18" s="0" t="s">
        <v>3513</v>
      </c>
      <c r="D18" s="0" t="s">
        <v>3512</v>
      </c>
      <c r="E18" s="0" t="s">
        <v>3513</v>
      </c>
      <c r="F18" s="0" t="s">
        <v>3499</v>
      </c>
      <c r="G18" s="0" t="s">
        <v>1480</v>
      </c>
    </row>
    <row customHeight="1" ht="11.25">
      <c r="A19" s="375" t="s">
        <v>16</v>
      </c>
      <c r="B19" s="0" t="s">
        <v>3512</v>
      </c>
      <c r="C19" s="0" t="s">
        <v>3513</v>
      </c>
      <c r="D19" s="0" t="s">
        <v>3522</v>
      </c>
      <c r="E19" s="0" t="s">
        <v>3523</v>
      </c>
      <c r="F19" s="0" t="s">
        <v>3524</v>
      </c>
      <c r="G19" s="0" t="s">
        <v>1494</v>
      </c>
    </row>
    <row customHeight="1" ht="11.25">
      <c r="A20" s="375" t="s">
        <v>16</v>
      </c>
      <c r="B20" s="0" t="s">
        <v>3512</v>
      </c>
      <c r="C20" s="0" t="s">
        <v>3513</v>
      </c>
      <c r="D20" s="0" t="s">
        <v>3525</v>
      </c>
      <c r="E20" s="0" t="s">
        <v>3526</v>
      </c>
      <c r="F20" s="0" t="s">
        <v>3498</v>
      </c>
      <c r="G20" s="0" t="s">
        <v>1506</v>
      </c>
    </row>
    <row customHeight="1" ht="11.25">
      <c r="A21" s="375" t="s">
        <v>16</v>
      </c>
      <c r="B21" s="0" t="s">
        <v>3512</v>
      </c>
      <c r="C21" s="0" t="s">
        <v>3513</v>
      </c>
      <c r="D21" s="0" t="s">
        <v>3527</v>
      </c>
      <c r="E21" s="0" t="s">
        <v>3528</v>
      </c>
      <c r="F21" s="0" t="s">
        <v>3498</v>
      </c>
      <c r="G21" s="0" t="s">
        <v>1515</v>
      </c>
    </row>
    <row customHeight="1" ht="11.25">
      <c r="A22" s="375" t="s">
        <v>16</v>
      </c>
      <c r="B22" s="0" t="s">
        <v>3512</v>
      </c>
      <c r="C22" s="0" t="s">
        <v>3513</v>
      </c>
      <c r="D22" s="0" t="s">
        <v>3529</v>
      </c>
      <c r="E22" s="0" t="s">
        <v>3530</v>
      </c>
      <c r="F22" s="0" t="s">
        <v>3498</v>
      </c>
      <c r="G22" s="0" t="s">
        <v>1531</v>
      </c>
    </row>
    <row customHeight="1" ht="11.25">
      <c r="A23" s="375" t="s">
        <v>16</v>
      </c>
      <c r="B23" s="0" t="s">
        <v>100</v>
      </c>
      <c r="C23" s="0" t="s">
        <v>101</v>
      </c>
      <c r="D23" s="0" t="s">
        <v>100</v>
      </c>
      <c r="E23" s="0" t="s">
        <v>101</v>
      </c>
      <c r="F23" s="0" t="s">
        <v>3531</v>
      </c>
      <c r="G23" s="0" t="s">
        <v>99</v>
      </c>
    </row>
    <row customHeight="1" ht="11.25">
      <c r="A24" s="375" t="s">
        <v>16</v>
      </c>
      <c r="B24" s="0" t="s">
        <v>3532</v>
      </c>
      <c r="C24" s="0" t="s">
        <v>3533</v>
      </c>
      <c r="D24" s="0" t="s">
        <v>3532</v>
      </c>
      <c r="E24" s="0" t="s">
        <v>3533</v>
      </c>
      <c r="F24" s="0" t="s">
        <v>3531</v>
      </c>
      <c r="G24" s="0" t="s">
        <v>1545</v>
      </c>
    </row>
    <row customHeight="1" ht="11.25">
      <c r="A25" s="375" t="s">
        <v>16</v>
      </c>
      <c r="B25" s="0" t="s">
        <v>3534</v>
      </c>
      <c r="C25" s="0" t="s">
        <v>3535</v>
      </c>
      <c r="D25" s="0" t="s">
        <v>3534</v>
      </c>
      <c r="E25" s="0" t="s">
        <v>3535</v>
      </c>
      <c r="F25" s="0" t="s">
        <v>3487</v>
      </c>
      <c r="G25" s="0" t="s">
        <v>1552</v>
      </c>
    </row>
    <row customHeight="1" ht="11.25">
      <c r="A26" s="375" t="s">
        <v>16</v>
      </c>
      <c r="B26" s="0" t="s">
        <v>3536</v>
      </c>
      <c r="C26" s="0" t="s">
        <v>3537</v>
      </c>
      <c r="D26" s="0" t="s">
        <v>3536</v>
      </c>
      <c r="E26" s="0" t="s">
        <v>3537</v>
      </c>
      <c r="F26" s="0" t="s">
        <v>3487</v>
      </c>
      <c r="G26" s="0" t="s">
        <v>1556</v>
      </c>
    </row>
    <row customHeight="1" ht="11.25">
      <c r="A27" s="375" t="s">
        <v>16</v>
      </c>
      <c r="B27" s="0" t="s">
        <v>3538</v>
      </c>
      <c r="C27" s="0" t="s">
        <v>3539</v>
      </c>
      <c r="D27" s="0" t="s">
        <v>3538</v>
      </c>
      <c r="E27" s="0" t="s">
        <v>3539</v>
      </c>
      <c r="F27" s="0" t="s">
        <v>3487</v>
      </c>
      <c r="G27" s="0" t="s">
        <v>1561</v>
      </c>
    </row>
    <row customHeight="1" ht="11.25">
      <c r="A28" s="375" t="s">
        <v>16</v>
      </c>
      <c r="B28" s="0" t="s">
        <v>3540</v>
      </c>
      <c r="C28" s="0" t="s">
        <v>3541</v>
      </c>
      <c r="D28" s="0" t="s">
        <v>3542</v>
      </c>
      <c r="E28" s="0" t="s">
        <v>3543</v>
      </c>
      <c r="F28" s="0" t="s">
        <v>3498</v>
      </c>
      <c r="G28" s="0" t="s">
        <v>1569</v>
      </c>
    </row>
    <row customHeight="1" ht="11.25">
      <c r="A29" s="375" t="s">
        <v>16</v>
      </c>
      <c r="B29" s="0" t="s">
        <v>3540</v>
      </c>
      <c r="C29" s="0" t="s">
        <v>3541</v>
      </c>
      <c r="D29" s="0" t="s">
        <v>3544</v>
      </c>
      <c r="E29" s="0" t="s">
        <v>3545</v>
      </c>
      <c r="F29" s="0" t="s">
        <v>3524</v>
      </c>
      <c r="G29" s="0" t="s">
        <v>1571</v>
      </c>
    </row>
    <row customHeight="1" ht="11.25">
      <c r="A30" s="375" t="s">
        <v>16</v>
      </c>
      <c r="B30" s="0" t="s">
        <v>3540</v>
      </c>
      <c r="C30" s="0" t="s">
        <v>3541</v>
      </c>
      <c r="D30" s="0" t="s">
        <v>3540</v>
      </c>
      <c r="E30" s="0" t="s">
        <v>3541</v>
      </c>
      <c r="F30" s="0" t="s">
        <v>3499</v>
      </c>
      <c r="G30" s="0" t="s">
        <v>1574</v>
      </c>
    </row>
    <row customHeight="1" ht="11.25">
      <c r="A31" s="375" t="s">
        <v>16</v>
      </c>
      <c r="B31" s="0" t="s">
        <v>3540</v>
      </c>
      <c r="C31" s="0" t="s">
        <v>3541</v>
      </c>
      <c r="D31" s="0" t="s">
        <v>3546</v>
      </c>
      <c r="E31" s="0" t="s">
        <v>3547</v>
      </c>
      <c r="F31" s="0" t="s">
        <v>3498</v>
      </c>
      <c r="G31" s="0" t="s">
        <v>1580</v>
      </c>
    </row>
    <row customHeight="1" ht="11.25">
      <c r="A32" s="375" t="s">
        <v>16</v>
      </c>
      <c r="B32" s="0" t="s">
        <v>3540</v>
      </c>
      <c r="C32" s="0" t="s">
        <v>3541</v>
      </c>
      <c r="D32" s="0" t="s">
        <v>3548</v>
      </c>
      <c r="E32" s="0" t="s">
        <v>3549</v>
      </c>
      <c r="F32" s="0" t="s">
        <v>3498</v>
      </c>
      <c r="G32" s="0" t="s">
        <v>1582</v>
      </c>
    </row>
    <row customHeight="1" ht="11.25">
      <c r="A33" s="375" t="s">
        <v>16</v>
      </c>
      <c r="B33" s="0" t="s">
        <v>3540</v>
      </c>
      <c r="C33" s="0" t="s">
        <v>3541</v>
      </c>
      <c r="D33" s="0" t="s">
        <v>3550</v>
      </c>
      <c r="E33" s="0" t="s">
        <v>3551</v>
      </c>
      <c r="F33" s="0" t="s">
        <v>3498</v>
      </c>
      <c r="G33" s="0" t="s">
        <v>1584</v>
      </c>
    </row>
    <row customHeight="1" ht="11.25">
      <c r="A34" s="375" t="s">
        <v>16</v>
      </c>
      <c r="B34" s="0" t="s">
        <v>3540</v>
      </c>
      <c r="C34" s="0" t="s">
        <v>3541</v>
      </c>
      <c r="D34" s="0" t="s">
        <v>3552</v>
      </c>
      <c r="E34" s="0" t="s">
        <v>3553</v>
      </c>
      <c r="F34" s="0" t="s">
        <v>3498</v>
      </c>
      <c r="G34" s="0" t="s">
        <v>1586</v>
      </c>
    </row>
    <row customHeight="1" ht="11.25">
      <c r="A35" s="375" t="s">
        <v>16</v>
      </c>
      <c r="B35" s="0" t="s">
        <v>3540</v>
      </c>
      <c r="C35" s="0" t="s">
        <v>3541</v>
      </c>
      <c r="D35" s="0" t="s">
        <v>3554</v>
      </c>
      <c r="E35" s="0" t="s">
        <v>3555</v>
      </c>
      <c r="F35" s="0" t="s">
        <v>3498</v>
      </c>
      <c r="G35" s="0" t="s">
        <v>1591</v>
      </c>
    </row>
    <row customHeight="1" ht="11.25">
      <c r="A36" s="375" t="s">
        <v>16</v>
      </c>
      <c r="B36" s="0" t="s">
        <v>3556</v>
      </c>
      <c r="C36" s="0" t="s">
        <v>3557</v>
      </c>
      <c r="D36" s="0" t="s">
        <v>3556</v>
      </c>
      <c r="E36" s="0" t="s">
        <v>3557</v>
      </c>
      <c r="F36" s="0" t="s">
        <v>3487</v>
      </c>
      <c r="G36" s="0" t="s">
        <v>1596</v>
      </c>
    </row>
    <row customHeight="1" ht="11.25">
      <c r="A37" s="375" t="s">
        <v>16</v>
      </c>
      <c r="B37" s="0" t="s">
        <v>3558</v>
      </c>
      <c r="C37" s="0" t="s">
        <v>3559</v>
      </c>
      <c r="D37" s="0" t="s">
        <v>3558</v>
      </c>
      <c r="E37" s="0" t="s">
        <v>3559</v>
      </c>
      <c r="F37" s="0" t="s">
        <v>3487</v>
      </c>
      <c r="G37" s="0" t="s">
        <v>1600</v>
      </c>
    </row>
    <row customHeight="1" ht="11.25">
      <c r="A38" s="375" t="s">
        <v>16</v>
      </c>
      <c r="B38" s="0" t="s">
        <v>3560</v>
      </c>
      <c r="C38" s="0" t="s">
        <v>3561</v>
      </c>
      <c r="D38" s="0" t="s">
        <v>3560</v>
      </c>
      <c r="E38" s="0" t="s">
        <v>3561</v>
      </c>
      <c r="F38" s="0" t="s">
        <v>3487</v>
      </c>
      <c r="G38" s="0" t="s">
        <v>1608</v>
      </c>
    </row>
    <row customHeight="1" ht="11.25">
      <c r="A39" s="375" t="s">
        <v>16</v>
      </c>
      <c r="B39" s="0" t="s">
        <v>3562</v>
      </c>
      <c r="C39" s="0" t="s">
        <v>3563</v>
      </c>
      <c r="D39" s="0" t="s">
        <v>3564</v>
      </c>
      <c r="E39" s="0" t="s">
        <v>3565</v>
      </c>
      <c r="F39" s="0" t="s">
        <v>3498</v>
      </c>
      <c r="G39" s="0" t="s">
        <v>1614</v>
      </c>
    </row>
    <row customHeight="1" ht="11.25">
      <c r="A40" s="375" t="s">
        <v>16</v>
      </c>
      <c r="B40" s="0" t="s">
        <v>3562</v>
      </c>
      <c r="C40" s="0" t="s">
        <v>3563</v>
      </c>
      <c r="D40" s="0" t="s">
        <v>3566</v>
      </c>
      <c r="E40" s="0" t="s">
        <v>3567</v>
      </c>
      <c r="F40" s="0" t="s">
        <v>3524</v>
      </c>
      <c r="G40" s="0" t="s">
        <v>1619</v>
      </c>
    </row>
    <row customHeight="1" ht="11.25">
      <c r="A41" s="375" t="s">
        <v>16</v>
      </c>
      <c r="B41" s="0" t="s">
        <v>3562</v>
      </c>
      <c r="C41" s="0" t="s">
        <v>3563</v>
      </c>
      <c r="D41" s="0" t="s">
        <v>3568</v>
      </c>
      <c r="E41" s="0" t="s">
        <v>3569</v>
      </c>
      <c r="F41" s="0" t="s">
        <v>3498</v>
      </c>
      <c r="G41" s="0" t="s">
        <v>1623</v>
      </c>
    </row>
    <row customHeight="1" ht="11.25">
      <c r="A42" s="375" t="s">
        <v>16</v>
      </c>
      <c r="B42" s="0" t="s">
        <v>3562</v>
      </c>
      <c r="C42" s="0" t="s">
        <v>3563</v>
      </c>
      <c r="D42" s="0" t="s">
        <v>3570</v>
      </c>
      <c r="E42" s="0" t="s">
        <v>3571</v>
      </c>
      <c r="F42" s="0" t="s">
        <v>3498</v>
      </c>
      <c r="G42" s="0" t="s">
        <v>1626</v>
      </c>
    </row>
    <row customHeight="1" ht="11.25">
      <c r="A43" s="375" t="s">
        <v>16</v>
      </c>
      <c r="B43" s="0" t="s">
        <v>3562</v>
      </c>
      <c r="C43" s="0" t="s">
        <v>3563</v>
      </c>
      <c r="D43" s="0" t="s">
        <v>3527</v>
      </c>
      <c r="E43" s="0" t="s">
        <v>3572</v>
      </c>
      <c r="F43" s="0" t="s">
        <v>3498</v>
      </c>
      <c r="G43" s="0" t="s">
        <v>1633</v>
      </c>
    </row>
    <row customHeight="1" ht="11.25">
      <c r="A44" s="375" t="s">
        <v>16</v>
      </c>
      <c r="B44" s="0" t="s">
        <v>3562</v>
      </c>
      <c r="C44" s="0" t="s">
        <v>3563</v>
      </c>
      <c r="D44" s="0" t="s">
        <v>3573</v>
      </c>
      <c r="E44" s="0" t="s">
        <v>3574</v>
      </c>
      <c r="F44" s="0" t="s">
        <v>3498</v>
      </c>
      <c r="G44" s="0" t="s">
        <v>1642</v>
      </c>
    </row>
    <row customHeight="1" ht="11.25">
      <c r="A45" s="375" t="s">
        <v>16</v>
      </c>
      <c r="B45" s="0" t="s">
        <v>3562</v>
      </c>
      <c r="C45" s="0" t="s">
        <v>3563</v>
      </c>
      <c r="D45" s="0" t="s">
        <v>3562</v>
      </c>
      <c r="E45" s="0" t="s">
        <v>3563</v>
      </c>
      <c r="F45" s="0" t="s">
        <v>3499</v>
      </c>
      <c r="G45" s="0" t="s">
        <v>1647</v>
      </c>
    </row>
    <row customHeight="1" ht="11.25">
      <c r="A46" s="375" t="s">
        <v>16</v>
      </c>
      <c r="B46" s="0" t="s">
        <v>3562</v>
      </c>
      <c r="C46" s="0" t="s">
        <v>3563</v>
      </c>
      <c r="D46" s="0" t="s">
        <v>3575</v>
      </c>
      <c r="E46" s="0" t="s">
        <v>3576</v>
      </c>
      <c r="F46" s="0" t="s">
        <v>3498</v>
      </c>
      <c r="G46" s="0" t="s">
        <v>1650</v>
      </c>
    </row>
    <row customHeight="1" ht="11.25">
      <c r="A47" s="375" t="s">
        <v>16</v>
      </c>
      <c r="B47" s="0" t="s">
        <v>3577</v>
      </c>
      <c r="C47" s="0" t="s">
        <v>3578</v>
      </c>
      <c r="D47" s="0" t="s">
        <v>3577</v>
      </c>
      <c r="E47" s="0" t="s">
        <v>3578</v>
      </c>
      <c r="F47" s="0" t="s">
        <v>3487</v>
      </c>
      <c r="G47" s="0" t="s">
        <v>1656</v>
      </c>
    </row>
    <row customHeight="1" ht="11.25">
      <c r="A48" s="375" t="s">
        <v>16</v>
      </c>
      <c r="B48" s="0" t="s">
        <v>3579</v>
      </c>
      <c r="C48" s="0" t="s">
        <v>3580</v>
      </c>
      <c r="D48" s="0" t="s">
        <v>3579</v>
      </c>
      <c r="E48" s="0" t="s">
        <v>3580</v>
      </c>
      <c r="F48" s="0" t="s">
        <v>3487</v>
      </c>
      <c r="G48" s="0" t="s">
        <v>1661</v>
      </c>
    </row>
    <row customHeight="1" ht="11.25">
      <c r="A49" s="375" t="s">
        <v>16</v>
      </c>
      <c r="B49" s="0" t="s">
        <v>3581</v>
      </c>
      <c r="C49" s="0" t="s">
        <v>3582</v>
      </c>
      <c r="D49" s="0" t="s">
        <v>3581</v>
      </c>
      <c r="E49" s="0" t="s">
        <v>3582</v>
      </c>
      <c r="F49" s="0" t="s">
        <v>3487</v>
      </c>
      <c r="G49" s="0" t="s">
        <v>1664</v>
      </c>
    </row>
    <row customHeight="1" ht="11.25">
      <c r="A50" s="375" t="s">
        <v>16</v>
      </c>
      <c r="B50" s="0" t="s">
        <v>3583</v>
      </c>
      <c r="C50" s="0" t="s">
        <v>3584</v>
      </c>
      <c r="D50" s="0" t="s">
        <v>3583</v>
      </c>
      <c r="E50" s="0" t="s">
        <v>3584</v>
      </c>
      <c r="F50" s="0" t="s">
        <v>3487</v>
      </c>
      <c r="G50" s="0" t="s">
        <v>1668</v>
      </c>
    </row>
    <row customHeight="1" ht="11.25">
      <c r="A51" s="375" t="s">
        <v>16</v>
      </c>
      <c r="B51" s="0" t="s">
        <v>3585</v>
      </c>
      <c r="C51" s="0" t="s">
        <v>3586</v>
      </c>
      <c r="D51" s="0" t="s">
        <v>3585</v>
      </c>
      <c r="E51" s="0" t="s">
        <v>3586</v>
      </c>
      <c r="F51" s="0" t="s">
        <v>3487</v>
      </c>
      <c r="G51" s="0" t="s">
        <v>1673</v>
      </c>
    </row>
    <row customHeight="1" ht="11.25">
      <c r="A52" s="375" t="s">
        <v>16</v>
      </c>
      <c r="B52" s="0" t="s">
        <v>3587</v>
      </c>
      <c r="C52" s="0" t="s">
        <v>3588</v>
      </c>
      <c r="D52" s="0" t="s">
        <v>3587</v>
      </c>
      <c r="E52" s="0" t="s">
        <v>3588</v>
      </c>
      <c r="F52" s="0" t="s">
        <v>3487</v>
      </c>
      <c r="G52" s="0" t="s">
        <v>1677</v>
      </c>
    </row>
    <row customHeight="1" ht="11.25">
      <c r="A53" s="375" t="s">
        <v>16</v>
      </c>
      <c r="B53" s="0" t="s">
        <v>3589</v>
      </c>
      <c r="C53" s="0" t="s">
        <v>3590</v>
      </c>
      <c r="D53" s="0" t="s">
        <v>3589</v>
      </c>
      <c r="E53" s="0" t="s">
        <v>3590</v>
      </c>
      <c r="F53" s="0" t="s">
        <v>3487</v>
      </c>
      <c r="G53" s="0" t="s">
        <v>1679</v>
      </c>
    </row>
    <row customHeight="1" ht="11.25">
      <c r="A54" s="375" t="s">
        <v>16</v>
      </c>
      <c r="B54" s="0" t="s">
        <v>3591</v>
      </c>
      <c r="C54" s="0" t="s">
        <v>3592</v>
      </c>
      <c r="D54" s="0" t="s">
        <v>3591</v>
      </c>
      <c r="E54" s="0" t="s">
        <v>3592</v>
      </c>
      <c r="F54" s="0" t="s">
        <v>3487</v>
      </c>
      <c r="G54" s="0" t="s">
        <v>1682</v>
      </c>
    </row>
    <row customHeight="1" ht="11.25">
      <c r="A55" s="375" t="s">
        <v>16</v>
      </c>
      <c r="B55" s="0" t="s">
        <v>3593</v>
      </c>
      <c r="C55" s="0" t="s">
        <v>3594</v>
      </c>
      <c r="D55" s="0" t="s">
        <v>3593</v>
      </c>
      <c r="E55" s="0" t="s">
        <v>3594</v>
      </c>
      <c r="F55" s="0" t="s">
        <v>3487</v>
      </c>
      <c r="G55" s="0" t="s">
        <v>1686</v>
      </c>
    </row>
    <row customHeight="1" ht="11.25">
      <c r="A56" s="375" t="s">
        <v>16</v>
      </c>
      <c r="B56" s="0" t="s">
        <v>3595</v>
      </c>
      <c r="C56" s="0" t="s">
        <v>3596</v>
      </c>
      <c r="D56" s="0" t="s">
        <v>3597</v>
      </c>
      <c r="E56" s="0" t="s">
        <v>3598</v>
      </c>
      <c r="F56" s="0" t="s">
        <v>3498</v>
      </c>
      <c r="G56" s="0" t="s">
        <v>1689</v>
      </c>
    </row>
    <row customHeight="1" ht="11.25">
      <c r="A57" s="375" t="s">
        <v>16</v>
      </c>
      <c r="B57" s="0" t="s">
        <v>3595</v>
      </c>
      <c r="C57" s="0" t="s">
        <v>3596</v>
      </c>
      <c r="D57" s="0" t="s">
        <v>3599</v>
      </c>
      <c r="E57" s="0" t="s">
        <v>3600</v>
      </c>
      <c r="F57" s="0" t="s">
        <v>3498</v>
      </c>
      <c r="G57" s="0" t="s">
        <v>1692</v>
      </c>
    </row>
    <row customHeight="1" ht="11.25">
      <c r="A58" s="375" t="s">
        <v>16</v>
      </c>
      <c r="B58" s="0" t="s">
        <v>3595</v>
      </c>
      <c r="C58" s="0" t="s">
        <v>3596</v>
      </c>
      <c r="D58" s="0" t="s">
        <v>3601</v>
      </c>
      <c r="E58" s="0" t="s">
        <v>3602</v>
      </c>
      <c r="F58" s="0" t="s">
        <v>3498</v>
      </c>
      <c r="G58" s="0" t="s">
        <v>1695</v>
      </c>
    </row>
    <row customHeight="1" ht="11.25">
      <c r="A59" s="375" t="s">
        <v>16</v>
      </c>
      <c r="B59" s="0" t="s">
        <v>3595</v>
      </c>
      <c r="C59" s="0" t="s">
        <v>3596</v>
      </c>
      <c r="D59" s="0" t="s">
        <v>3603</v>
      </c>
      <c r="E59" s="0" t="s">
        <v>3604</v>
      </c>
      <c r="F59" s="0" t="s">
        <v>3498</v>
      </c>
      <c r="G59" s="0" t="s">
        <v>1699</v>
      </c>
    </row>
    <row customHeight="1" ht="11.25">
      <c r="A60" s="375" t="s">
        <v>16</v>
      </c>
      <c r="B60" s="0" t="s">
        <v>3595</v>
      </c>
      <c r="C60" s="0" t="s">
        <v>3596</v>
      </c>
      <c r="D60" s="0" t="s">
        <v>3605</v>
      </c>
      <c r="E60" s="0" t="s">
        <v>3606</v>
      </c>
      <c r="F60" s="0" t="s">
        <v>3498</v>
      </c>
      <c r="G60" s="0" t="s">
        <v>1702</v>
      </c>
    </row>
    <row customHeight="1" ht="11.25">
      <c r="A61" s="375" t="s">
        <v>16</v>
      </c>
      <c r="B61" s="0" t="s">
        <v>3595</v>
      </c>
      <c r="C61" s="0" t="s">
        <v>3596</v>
      </c>
      <c r="D61" s="0" t="s">
        <v>3607</v>
      </c>
      <c r="E61" s="0" t="s">
        <v>3608</v>
      </c>
      <c r="F61" s="0" t="s">
        <v>3498</v>
      </c>
      <c r="G61" s="0" t="s">
        <v>3609</v>
      </c>
    </row>
    <row customHeight="1" ht="11.25">
      <c r="A62" s="375" t="s">
        <v>16</v>
      </c>
      <c r="B62" s="0" t="s">
        <v>3595</v>
      </c>
      <c r="C62" s="0" t="s">
        <v>3596</v>
      </c>
      <c r="D62" s="0" t="s">
        <v>3610</v>
      </c>
      <c r="E62" s="0" t="s">
        <v>3611</v>
      </c>
      <c r="F62" s="0" t="s">
        <v>3498</v>
      </c>
      <c r="G62" s="0" t="s">
        <v>3612</v>
      </c>
    </row>
    <row customHeight="1" ht="11.25">
      <c r="A63" s="375" t="s">
        <v>16</v>
      </c>
      <c r="B63" s="0" t="s">
        <v>3595</v>
      </c>
      <c r="C63" s="0" t="s">
        <v>3596</v>
      </c>
      <c r="D63" s="0" t="s">
        <v>3613</v>
      </c>
      <c r="E63" s="0" t="s">
        <v>3614</v>
      </c>
      <c r="F63" s="0" t="s">
        <v>3498</v>
      </c>
      <c r="G63" s="0" t="s">
        <v>3615</v>
      </c>
    </row>
    <row customHeight="1" ht="11.25">
      <c r="A64" s="375" t="s">
        <v>16</v>
      </c>
      <c r="B64" s="0" t="s">
        <v>3595</v>
      </c>
      <c r="C64" s="0" t="s">
        <v>3596</v>
      </c>
      <c r="D64" s="0" t="s">
        <v>3616</v>
      </c>
      <c r="E64" s="0" t="s">
        <v>3617</v>
      </c>
      <c r="F64" s="0" t="s">
        <v>3498</v>
      </c>
      <c r="G64" s="0" t="s">
        <v>3618</v>
      </c>
    </row>
    <row customHeight="1" ht="11.25">
      <c r="A65" s="375" t="s">
        <v>16</v>
      </c>
      <c r="B65" s="0" t="s">
        <v>3595</v>
      </c>
      <c r="C65" s="0" t="s">
        <v>3596</v>
      </c>
      <c r="D65" s="0" t="s">
        <v>3619</v>
      </c>
      <c r="E65" s="0" t="s">
        <v>3620</v>
      </c>
      <c r="F65" s="0" t="s">
        <v>3498</v>
      </c>
      <c r="G65" s="0" t="s">
        <v>3621</v>
      </c>
    </row>
    <row customHeight="1" ht="11.25">
      <c r="A66" s="375" t="s">
        <v>16</v>
      </c>
      <c r="B66" s="0" t="s">
        <v>3595</v>
      </c>
      <c r="C66" s="0" t="s">
        <v>3596</v>
      </c>
      <c r="D66" s="0" t="s">
        <v>3595</v>
      </c>
      <c r="E66" s="0" t="s">
        <v>3596</v>
      </c>
      <c r="F66" s="0" t="s">
        <v>3499</v>
      </c>
      <c r="G66" s="0" t="s">
        <v>3622</v>
      </c>
    </row>
    <row customHeight="1" ht="11.25">
      <c r="A67" s="375" t="s">
        <v>16</v>
      </c>
      <c r="B67" s="0" t="s">
        <v>3595</v>
      </c>
      <c r="C67" s="0" t="s">
        <v>3596</v>
      </c>
      <c r="D67" s="0" t="s">
        <v>3623</v>
      </c>
      <c r="E67" s="0" t="s">
        <v>3624</v>
      </c>
      <c r="F67" s="0" t="s">
        <v>3498</v>
      </c>
      <c r="G67" s="0" t="s">
        <v>2020</v>
      </c>
    </row>
    <row customHeight="1" ht="11.25">
      <c r="A68" s="375" t="s">
        <v>16</v>
      </c>
      <c r="B68" s="0" t="s">
        <v>3595</v>
      </c>
      <c r="C68" s="0" t="s">
        <v>3596</v>
      </c>
      <c r="D68" s="0" t="s">
        <v>3625</v>
      </c>
      <c r="E68" s="0" t="s">
        <v>3626</v>
      </c>
      <c r="F68" s="0" t="s">
        <v>3498</v>
      </c>
      <c r="G68" s="0" t="s">
        <v>3627</v>
      </c>
    </row>
    <row customHeight="1" ht="11.25">
      <c r="A69" s="375" t="s">
        <v>16</v>
      </c>
      <c r="B69" s="0" t="s">
        <v>3595</v>
      </c>
      <c r="C69" s="0" t="s">
        <v>3596</v>
      </c>
      <c r="D69" s="0" t="s">
        <v>3628</v>
      </c>
      <c r="E69" s="0" t="s">
        <v>3629</v>
      </c>
      <c r="F69" s="0" t="s">
        <v>3498</v>
      </c>
      <c r="G69" s="0" t="s">
        <v>2223</v>
      </c>
    </row>
    <row customHeight="1" ht="11.25">
      <c r="A70" s="375" t="s">
        <v>16</v>
      </c>
      <c r="B70" s="0" t="s">
        <v>3630</v>
      </c>
      <c r="C70" s="0" t="s">
        <v>3631</v>
      </c>
      <c r="D70" s="0" t="s">
        <v>3632</v>
      </c>
      <c r="E70" s="0" t="s">
        <v>3633</v>
      </c>
      <c r="F70" s="0" t="s">
        <v>3498</v>
      </c>
      <c r="G70" s="0" t="s">
        <v>3634</v>
      </c>
    </row>
    <row customHeight="1" ht="11.25">
      <c r="A71" s="375" t="s">
        <v>16</v>
      </c>
      <c r="B71" s="0" t="s">
        <v>3630</v>
      </c>
      <c r="C71" s="0" t="s">
        <v>3631</v>
      </c>
      <c r="D71" s="0" t="s">
        <v>3635</v>
      </c>
      <c r="E71" s="0" t="s">
        <v>3636</v>
      </c>
      <c r="F71" s="0" t="s">
        <v>3498</v>
      </c>
      <c r="G71" s="0" t="s">
        <v>3637</v>
      </c>
    </row>
    <row customHeight="1" ht="11.25">
      <c r="A72" s="375" t="s">
        <v>16</v>
      </c>
      <c r="B72" s="0" t="s">
        <v>3630</v>
      </c>
      <c r="C72" s="0" t="s">
        <v>3631</v>
      </c>
      <c r="D72" s="0" t="s">
        <v>3575</v>
      </c>
      <c r="E72" s="0" t="s">
        <v>3638</v>
      </c>
      <c r="F72" s="0" t="s">
        <v>3498</v>
      </c>
      <c r="G72" s="0" t="s">
        <v>3639</v>
      </c>
    </row>
    <row customHeight="1" ht="11.25">
      <c r="A73" s="375" t="s">
        <v>16</v>
      </c>
      <c r="B73" s="0" t="s">
        <v>3630</v>
      </c>
      <c r="C73" s="0" t="s">
        <v>3631</v>
      </c>
      <c r="D73" s="0" t="s">
        <v>3640</v>
      </c>
      <c r="E73" s="0" t="s">
        <v>3641</v>
      </c>
      <c r="F73" s="0" t="s">
        <v>3498</v>
      </c>
      <c r="G73" s="0" t="s">
        <v>3642</v>
      </c>
    </row>
    <row customHeight="1" ht="11.25">
      <c r="A74" s="375" t="s">
        <v>16</v>
      </c>
      <c r="B74" s="0" t="s">
        <v>3630</v>
      </c>
      <c r="C74" s="0" t="s">
        <v>3631</v>
      </c>
      <c r="D74" s="0" t="s">
        <v>3643</v>
      </c>
      <c r="E74" s="0" t="s">
        <v>3644</v>
      </c>
      <c r="F74" s="0" t="s">
        <v>3645</v>
      </c>
      <c r="G74" s="0" t="s">
        <v>3646</v>
      </c>
    </row>
    <row customHeight="1" ht="11.25">
      <c r="A75" s="375" t="s">
        <v>16</v>
      </c>
      <c r="B75" s="0" t="s">
        <v>3630</v>
      </c>
      <c r="C75" s="0" t="s">
        <v>3631</v>
      </c>
      <c r="D75" s="0" t="s">
        <v>3647</v>
      </c>
      <c r="E75" s="0" t="s">
        <v>3648</v>
      </c>
      <c r="F75" s="0" t="s">
        <v>3498</v>
      </c>
      <c r="G75" s="0" t="s">
        <v>3649</v>
      </c>
    </row>
    <row customHeight="1" ht="11.25">
      <c r="A76" s="375" t="s">
        <v>16</v>
      </c>
      <c r="B76" s="0" t="s">
        <v>3630</v>
      </c>
      <c r="C76" s="0" t="s">
        <v>3631</v>
      </c>
      <c r="D76" s="0" t="s">
        <v>3650</v>
      </c>
      <c r="E76" s="0" t="s">
        <v>3651</v>
      </c>
      <c r="F76" s="0" t="s">
        <v>3498</v>
      </c>
      <c r="G76" s="0" t="s">
        <v>3652</v>
      </c>
    </row>
    <row customHeight="1" ht="11.25">
      <c r="A77" s="375" t="s">
        <v>16</v>
      </c>
      <c r="B77" s="0" t="s">
        <v>3630</v>
      </c>
      <c r="C77" s="0" t="s">
        <v>3631</v>
      </c>
      <c r="D77" s="0" t="s">
        <v>3653</v>
      </c>
      <c r="E77" s="0" t="s">
        <v>3654</v>
      </c>
      <c r="F77" s="0" t="s">
        <v>3498</v>
      </c>
      <c r="G77" s="0" t="s">
        <v>3655</v>
      </c>
    </row>
    <row customHeight="1" ht="11.25">
      <c r="A78" s="375" t="s">
        <v>16</v>
      </c>
      <c r="B78" s="0" t="s">
        <v>3630</v>
      </c>
      <c r="C78" s="0" t="s">
        <v>3631</v>
      </c>
      <c r="D78" s="0" t="s">
        <v>3656</v>
      </c>
      <c r="E78" s="0" t="s">
        <v>3657</v>
      </c>
      <c r="F78" s="0" t="s">
        <v>3498</v>
      </c>
      <c r="G78" s="0" t="s">
        <v>3658</v>
      </c>
    </row>
    <row customHeight="1" ht="11.25">
      <c r="A79" s="375" t="s">
        <v>16</v>
      </c>
      <c r="B79" s="0" t="s">
        <v>3630</v>
      </c>
      <c r="C79" s="0" t="s">
        <v>3631</v>
      </c>
      <c r="D79" s="0" t="s">
        <v>3630</v>
      </c>
      <c r="E79" s="0" t="s">
        <v>3631</v>
      </c>
      <c r="F79" s="0" t="s">
        <v>3499</v>
      </c>
      <c r="G79" s="0" t="s">
        <v>3659</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AB76AD-BB6B-B45A-0A3B-16FA3C97EF96}" mc:Ignorable="x14ac xr xr2 xr3">
  <sheetPr>
    <tabColor rgb="FFFFCC99"/>
  </sheetPr>
  <dimension ref="A1:I7"/>
  <sheetViews>
    <sheetView topLeftCell="A1" showGridLines="0" workbookViewId="0">
      <selection activeCell="A1" sqref="A1"/>
    </sheetView>
  </sheetViews>
  <sheetFormatPr defaultColWidth="9.140625" customHeight="1" defaultRowHeight="11.25"/>
  <cols>
    <col min="1" max="1" style="1693" width="13.8515625" customWidth="1"/>
    <col min="2" max="2" style="1693" width="10.421875" customWidth="1"/>
    <col min="3" max="3" style="1693" width="7.57421875" customWidth="1"/>
    <col min="4" max="4" style="1693" width="13.8515625" customWidth="1"/>
    <col min="5" max="5" style="1693" width="11.57421875" customWidth="1"/>
    <col min="6" max="6" style="1693" width="16.28125" customWidth="1"/>
    <col min="7" max="7" style="1693" width="16.00390625" customWidth="1"/>
    <col min="8" max="9" style="1693" width="16.140625" customWidth="1"/>
  </cols>
  <sheetData>
    <row customHeight="1" ht="11.25">
      <c r="A1" s="837" t="s">
        <v>3660</v>
      </c>
      <c r="B1" s="837" t="s">
        <v>3661</v>
      </c>
      <c r="C1" s="1161" t="s">
        <v>3662</v>
      </c>
      <c r="D1" s="837" t="s">
        <v>3663</v>
      </c>
      <c r="E1" s="837" t="s">
        <v>3664</v>
      </c>
      <c r="F1" s="1161" t="s">
        <v>3665</v>
      </c>
      <c r="G1" s="1161" t="s">
        <v>3666</v>
      </c>
      <c r="H1" s="1161" t="s">
        <v>3667</v>
      </c>
      <c r="I1" s="1161" t="s">
        <v>3668</v>
      </c>
    </row>
    <row customHeight="1" ht="11.25">
      <c r="A2" s="1693" t="s">
        <v>109</v>
      </c>
      <c r="B2" s="1693" t="s">
        <v>3669</v>
      </c>
      <c r="C2" s="1693" t="s">
        <v>22</v>
      </c>
      <c r="D2" s="1693" t="s">
        <v>3670</v>
      </c>
      <c r="E2" s="1693" t="s">
        <v>3671</v>
      </c>
      <c r="F2" s="1693" t="s">
        <v>22</v>
      </c>
      <c r="G2" s="1693" t="s">
        <v>22</v>
      </c>
      <c r="H2" s="1693" t="s">
        <v>22</v>
      </c>
      <c r="I2" s="1693" t="s">
        <v>22</v>
      </c>
    </row>
    <row customHeight="1" ht="11.25">
      <c r="A3" s="1693" t="s">
        <v>110</v>
      </c>
      <c r="B3" s="1693" t="s">
        <v>3672</v>
      </c>
      <c r="C3" s="1693" t="s">
        <v>22</v>
      </c>
      <c r="D3" s="1693" t="s">
        <v>3673</v>
      </c>
      <c r="E3" s="1693" t="s">
        <v>3674</v>
      </c>
      <c r="F3" s="1693" t="s">
        <v>22</v>
      </c>
      <c r="G3" s="1693" t="s">
        <v>22</v>
      </c>
      <c r="H3" s="1693" t="s">
        <v>22</v>
      </c>
      <c r="I3" s="1693" t="s">
        <v>22</v>
      </c>
    </row>
    <row customHeight="1" ht="11.25">
      <c r="A4" s="1693" t="s">
        <v>90</v>
      </c>
      <c r="B4" s="1693" t="s">
        <v>3675</v>
      </c>
      <c r="C4" s="1693" t="s">
        <v>22</v>
      </c>
      <c r="D4" s="1693" t="s">
        <v>3676</v>
      </c>
      <c r="E4" s="1693" t="s">
        <v>3677</v>
      </c>
      <c r="F4" s="1693" t="s">
        <v>22</v>
      </c>
      <c r="G4" s="1693" t="s">
        <v>22</v>
      </c>
      <c r="H4" s="1693" t="s">
        <v>22</v>
      </c>
      <c r="I4" s="1693" t="s">
        <v>22</v>
      </c>
    </row>
    <row customHeight="1" ht="11.25">
      <c r="A5" s="1693" t="s">
        <v>91</v>
      </c>
      <c r="B5" s="1693" t="s">
        <v>3678</v>
      </c>
      <c r="C5" s="1693" t="s">
        <v>22</v>
      </c>
      <c r="D5" s="1693" t="s">
        <v>3679</v>
      </c>
      <c r="E5" s="1693" t="s">
        <v>3680</v>
      </c>
      <c r="F5" s="1693" t="s">
        <v>22</v>
      </c>
      <c r="G5" s="1693" t="s">
        <v>22</v>
      </c>
      <c r="H5" s="1693" t="s">
        <v>22</v>
      </c>
      <c r="I5" s="1693" t="s">
        <v>22</v>
      </c>
    </row>
    <row customHeight="1" ht="11.25">
      <c r="A6" s="1693" t="s">
        <v>111</v>
      </c>
      <c r="B6" s="1693" t="s">
        <v>3681</v>
      </c>
      <c r="C6" s="1693" t="s">
        <v>22</v>
      </c>
      <c r="D6" s="1693" t="s">
        <v>3670</v>
      </c>
      <c r="E6" s="1693" t="s">
        <v>3682</v>
      </c>
      <c r="F6" s="1693" t="s">
        <v>22</v>
      </c>
      <c r="G6" s="1693" t="s">
        <v>22</v>
      </c>
      <c r="H6" s="1693" t="s">
        <v>22</v>
      </c>
      <c r="I6" s="1693" t="s">
        <v>22</v>
      </c>
    </row>
    <row customHeight="1" ht="11.25">
      <c r="A7" s="1693" t="s">
        <v>92</v>
      </c>
      <c r="B7" s="1693" t="s">
        <v>3683</v>
      </c>
      <c r="C7" s="1693" t="s">
        <v>22</v>
      </c>
      <c r="D7" s="1693" t="s">
        <v>3684</v>
      </c>
      <c r="E7" s="1693" t="s">
        <v>3674</v>
      </c>
      <c r="F7" s="1693" t="s">
        <v>22</v>
      </c>
      <c r="G7" s="1693" t="s">
        <v>22</v>
      </c>
      <c r="H7" s="1693" t="s">
        <v>22</v>
      </c>
      <c r="I7" s="1693"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E293EE-B827-E5C3-A12A-1C890A4E8F3E}"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3CD344-9A42-AE57-B68E-686B117391AB}"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48.00390625" customWidth="1"/>
    <col min="6" max="6" style="1637" width="38.00390625" customWidth="1"/>
    <col min="7" max="7" style="1637" width="1.7109375" hidden="1" customWidth="1"/>
    <col min="8" max="11" style="1637" width="19.8515625" customWidth="1"/>
    <col min="12" max="12" style="1637" width="9.7109375" customWidth="1"/>
    <col min="13" max="18" style="1637" width="19.8515625" customWidth="1"/>
    <col min="19" max="19" style="1637" width="1.7109375" hidden="1" customWidth="1"/>
    <col min="20" max="22" style="1637" width="19.8515625" hidden="1" customWidth="1"/>
    <col min="23" max="23" style="1637" width="1.7109375" hidden="1" customWidth="1"/>
    <col min="24" max="26" style="1637" width="19.8515625" hidden="1" customWidth="1"/>
    <col min="27" max="27" style="1637" width="1.7109375" hidden="1" customWidth="1"/>
    <col min="28" max="29" style="1637" width="19.8515625" hidden="1" customWidth="1"/>
    <col min="30" max="30" style="1637" width="1.7109375" hidden="1" customWidth="1"/>
    <col min="31" max="31" style="1637" width="103.7109375" customWidth="1"/>
    <col min="32" max="34" style="1637" width="103.7109375" hidden="1" customWidth="1"/>
    <col min="35" max="35" style="1821" width="3.00390625" customWidth="1"/>
    <col min="36" max="38" style="1644" width="10.00390625" customWidth="1"/>
    <col min="39" max="39" style="1644" width="13.7109375" hidden="1" customWidth="1"/>
    <col min="40" max="40" style="1644" width="15.00390625" customWidth="1"/>
    <col min="41" max="41" style="1644" width="16.00390625" customWidth="1"/>
    <col min="42" max="45" style="1644" width="10.00390625" customWidth="1"/>
    <col min="46" max="46" style="1637" width="10.57421875" hidden="1"/>
  </cols>
  <sheetData>
    <row customHeight="1" ht="22.5" hidden="1">
      <c r="E1" s="414"/>
      <c r="F1" s="414"/>
      <c r="G1" s="414"/>
      <c r="H1" s="2219" t="s">
        <v>352</v>
      </c>
      <c r="I1" s="2219"/>
      <c r="J1" s="2219"/>
      <c r="K1" s="2219"/>
      <c r="L1" s="2219"/>
      <c r="M1" s="2219"/>
      <c r="N1" s="2219"/>
      <c r="O1" s="2219"/>
      <c r="P1" s="2219"/>
      <c r="Q1" s="2219"/>
      <c r="R1" s="2219"/>
      <c r="T1" s="2219" t="s">
        <v>353</v>
      </c>
      <c r="U1" s="2219"/>
      <c r="V1" s="2219"/>
      <c r="X1" s="2219" t="s">
        <v>354</v>
      </c>
      <c r="Y1" s="2219"/>
      <c r="Z1" s="2219"/>
      <c r="AB1" s="2219" t="s">
        <v>355</v>
      </c>
      <c r="AC1" s="2219"/>
      <c r="AT1" s="449" t="s">
        <v>14</v>
      </c>
    </row>
    <row customHeight="1" ht="14.25" hidden="1">
      <c r="AT2" s="449">
        <v>0</v>
      </c>
    </row>
    <row s="1615" customFormat="1" customHeight="1" ht="5.25">
      <c r="C3" s="703"/>
      <c r="D3" s="704"/>
      <c r="E3" s="704"/>
      <c r="F3" s="704"/>
      <c r="G3" s="704"/>
      <c r="H3" s="704" t="s">
        <v>356</v>
      </c>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J3" s="513"/>
      <c r="AK3" s="513"/>
      <c r="AL3" s="513"/>
      <c r="AM3" s="513"/>
      <c r="AN3" s="513"/>
      <c r="AO3" s="513"/>
      <c r="AP3" s="513"/>
      <c r="AQ3" s="513"/>
      <c r="AR3" s="513"/>
      <c r="AS3" s="513"/>
      <c r="AT3" s="702">
        <v>5</v>
      </c>
    </row>
    <row customHeight="1" ht="39.75">
      <c r="C4" s="452"/>
      <c r="D4" s="215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0"/>
      <c r="F4" s="2160"/>
      <c r="G4" s="2160"/>
      <c r="H4" s="2160"/>
      <c r="I4" s="2160"/>
      <c r="J4" s="2160"/>
      <c r="K4" s="2160"/>
      <c r="L4" s="2160"/>
      <c r="M4" s="2160"/>
      <c r="N4" s="2160"/>
      <c r="O4" s="2160"/>
      <c r="P4" s="2160"/>
      <c r="Q4" s="2160"/>
      <c r="R4" s="2161"/>
      <c r="S4" s="855"/>
      <c r="T4" s="701"/>
      <c r="U4" s="701"/>
      <c r="V4" s="701"/>
      <c r="W4" s="701"/>
      <c r="X4" s="701"/>
      <c r="Y4" s="701"/>
      <c r="Z4" s="701"/>
      <c r="AA4" s="701"/>
      <c r="AB4" s="701"/>
      <c r="AC4" s="701"/>
      <c r="AD4" s="701"/>
      <c r="AE4" s="493"/>
      <c r="AF4" s="493"/>
      <c r="AG4" s="493"/>
      <c r="AH4" s="493"/>
      <c r="AI4" s="490"/>
      <c r="AT4" s="449">
        <v>38</v>
      </c>
    </row>
    <row s="1637" customFormat="1" customHeight="1" ht="18">
      <c r="A5" s="761"/>
      <c r="C5" s="824"/>
      <c r="D5" s="2216" t="str">
        <f>IF(org=0,"Не определено",org)</f>
        <v>ПАО "ТГК-2"</v>
      </c>
      <c r="E5" s="2217"/>
      <c r="F5" s="2217"/>
      <c r="G5" s="2217"/>
      <c r="H5" s="2217"/>
      <c r="I5" s="2217"/>
      <c r="J5" s="2217"/>
      <c r="K5" s="2217"/>
      <c r="L5" s="2217"/>
      <c r="M5" s="2217"/>
      <c r="N5" s="2217"/>
      <c r="O5" s="2217"/>
      <c r="P5" s="2217"/>
      <c r="Q5" s="2217"/>
      <c r="R5" s="2218"/>
      <c r="S5" s="855"/>
      <c r="T5" s="701"/>
      <c r="U5" s="701"/>
      <c r="V5" s="701"/>
      <c r="W5" s="701"/>
      <c r="X5" s="701"/>
      <c r="Y5" s="701"/>
      <c r="Z5" s="701"/>
      <c r="AA5" s="701"/>
      <c r="AB5" s="701"/>
      <c r="AC5" s="701"/>
      <c r="AD5" s="701"/>
      <c r="AE5" s="493"/>
      <c r="AF5" s="493"/>
      <c r="AG5" s="493"/>
      <c r="AH5" s="493"/>
      <c r="AI5" s="490"/>
      <c r="AJ5" s="513"/>
      <c r="AK5" s="513"/>
      <c r="AL5" s="513"/>
      <c r="AM5" s="513"/>
      <c r="AN5" s="513"/>
      <c r="AO5" s="513"/>
      <c r="AP5" s="513"/>
      <c r="AQ5" s="513"/>
      <c r="AR5" s="513"/>
      <c r="AS5" s="513"/>
      <c r="AT5" s="760">
        <v>17</v>
      </c>
    </row>
    <row s="1614" customFormat="1" customHeight="1" ht="11.549999999999999">
      <c r="A6" s="481"/>
      <c r="C6" s="488"/>
      <c r="D6" s="487"/>
      <c r="E6" s="487"/>
      <c r="F6" s="487"/>
      <c r="G6" s="487"/>
      <c r="H6" s="487"/>
      <c r="I6" s="487"/>
      <c r="J6" s="487"/>
      <c r="K6" s="487"/>
      <c r="L6" s="487"/>
      <c r="M6" s="487"/>
      <c r="N6" s="487"/>
      <c r="O6" s="487"/>
      <c r="P6" s="487"/>
      <c r="Q6" s="487"/>
      <c r="R6" s="754"/>
      <c r="S6" s="754"/>
      <c r="T6" s="487"/>
      <c r="U6" s="487"/>
      <c r="V6" s="714"/>
      <c r="W6" s="714"/>
      <c r="X6" s="487"/>
      <c r="Y6" s="487"/>
      <c r="Z6" s="714"/>
      <c r="AA6" s="714"/>
      <c r="AB6" s="487"/>
      <c r="AC6" s="714"/>
      <c r="AD6" s="714"/>
      <c r="AE6" s="487"/>
      <c r="AF6" s="487"/>
      <c r="AG6" s="487"/>
      <c r="AH6" s="487"/>
      <c r="AJ6" s="491"/>
      <c r="AK6" s="491"/>
      <c r="AL6" s="491"/>
      <c r="AM6" s="491"/>
      <c r="AN6" s="491"/>
      <c r="AO6" s="491"/>
      <c r="AP6" s="491"/>
      <c r="AQ6" s="491"/>
      <c r="AR6" s="491"/>
      <c r="AS6" s="491"/>
      <c r="AT6" s="482">
        <v>11</v>
      </c>
    </row>
    <row customHeight="1" ht="14.699999999999998">
      <c r="C7" s="452"/>
      <c r="D7" s="2220" t="s">
        <v>300</v>
      </c>
      <c r="E7" s="2221"/>
      <c r="F7" s="2221"/>
      <c r="G7" s="2221"/>
      <c r="H7" s="2221"/>
      <c r="I7" s="2221"/>
      <c r="J7" s="2221"/>
      <c r="K7" s="2221"/>
      <c r="L7" s="2221"/>
      <c r="M7" s="2221"/>
      <c r="N7" s="2221"/>
      <c r="O7" s="2221"/>
      <c r="P7" s="2221"/>
      <c r="Q7" s="2221"/>
      <c r="R7" s="2221"/>
      <c r="S7" s="2221"/>
      <c r="T7" s="2221"/>
      <c r="U7" s="2221"/>
      <c r="V7" s="2221"/>
      <c r="W7" s="2221"/>
      <c r="X7" s="2221"/>
      <c r="Y7" s="2221"/>
      <c r="Z7" s="2221"/>
      <c r="AA7" s="2221"/>
      <c r="AB7" s="2221"/>
      <c r="AC7" s="2221"/>
      <c r="AD7" s="2222"/>
      <c r="AE7" s="2225" t="s">
        <v>301</v>
      </c>
      <c r="AF7" s="2225" t="s">
        <v>301</v>
      </c>
      <c r="AG7" s="2225" t="s">
        <v>301</v>
      </c>
      <c r="AH7" s="2225" t="s">
        <v>301</v>
      </c>
      <c r="AT7" s="449">
        <v>14</v>
      </c>
    </row>
    <row customHeight="1" ht="27.299999999999997">
      <c r="C8" s="452"/>
      <c r="D8" s="2129" t="s">
        <v>88</v>
      </c>
      <c r="E8" s="2225" t="str">
        <f>"Наименование "&amp;IF(TEMPLATE_SPHERE&lt;&gt;"HEAT","централизованной ","")&amp;"системы "&amp;TEMPLATE_SPHERE_RUS</f>
        <v>Наименование системы теплоснабжения</v>
      </c>
      <c r="F8" s="2225" t="str">
        <f>IF(TEMPLATE_SPHERE&lt;&gt;"HEAT","Регулируемый вид деятельности","Вид регулируемой деятельности")</f>
        <v>Вид регулируемой деятельности</v>
      </c>
      <c r="G8" s="830"/>
      <c r="H8" s="2226" t="s">
        <v>357</v>
      </c>
      <c r="I8" s="2228" t="s">
        <v>358</v>
      </c>
      <c r="J8" s="2225" t="s">
        <v>359</v>
      </c>
      <c r="K8" s="2225"/>
      <c r="L8" s="2225"/>
      <c r="M8" s="2220"/>
      <c r="N8" s="2225" t="s">
        <v>360</v>
      </c>
      <c r="O8" s="2225"/>
      <c r="P8" s="2225" t="s">
        <v>361</v>
      </c>
      <c r="Q8" s="2225"/>
      <c r="R8" s="2232" t="s">
        <v>362</v>
      </c>
      <c r="S8" s="826"/>
      <c r="T8" s="2230" t="s">
        <v>363</v>
      </c>
      <c r="U8" s="2230" t="s">
        <v>364</v>
      </c>
      <c r="V8" s="2230" t="s">
        <v>365</v>
      </c>
      <c r="W8" s="828"/>
      <c r="X8" s="2230" t="s">
        <v>366</v>
      </c>
      <c r="Y8" s="2230" t="s">
        <v>367</v>
      </c>
      <c r="Z8" s="2230" t="s">
        <v>368</v>
      </c>
      <c r="AA8" s="828"/>
      <c r="AB8" s="2230" t="s">
        <v>369</v>
      </c>
      <c r="AC8" s="2230" t="s">
        <v>362</v>
      </c>
      <c r="AD8" s="828"/>
      <c r="AE8" s="2225"/>
      <c r="AF8" s="2225"/>
      <c r="AG8" s="2225"/>
      <c r="AH8" s="2225"/>
      <c r="AT8" s="449">
        <v>26</v>
      </c>
    </row>
    <row customHeight="1" ht="46.199999999999996">
      <c r="C9" s="452"/>
      <c r="D9" s="2129"/>
      <c r="E9" s="2225"/>
      <c r="F9" s="2225"/>
      <c r="G9" s="831"/>
      <c r="H9" s="2227"/>
      <c r="I9" s="2229"/>
      <c r="J9" s="427" t="s">
        <v>370</v>
      </c>
      <c r="K9" s="427" t="s">
        <v>371</v>
      </c>
      <c r="L9" s="427" t="s">
        <v>372</v>
      </c>
      <c r="M9" s="433" t="s">
        <v>373</v>
      </c>
      <c r="N9" s="427" t="s">
        <v>374</v>
      </c>
      <c r="O9" s="427" t="s">
        <v>373</v>
      </c>
      <c r="P9" s="427" t="s">
        <v>375</v>
      </c>
      <c r="Q9" s="427" t="s">
        <v>373</v>
      </c>
      <c r="R9" s="2233"/>
      <c r="S9" s="827"/>
      <c r="T9" s="2231"/>
      <c r="U9" s="2231"/>
      <c r="V9" s="2231"/>
      <c r="W9" s="829"/>
      <c r="X9" s="2231"/>
      <c r="Y9" s="2231"/>
      <c r="Z9" s="2231"/>
      <c r="AA9" s="829"/>
      <c r="AB9" s="2231"/>
      <c r="AC9" s="2231"/>
      <c r="AD9" s="829"/>
      <c r="AE9" s="2225"/>
      <c r="AF9" s="2225"/>
      <c r="AG9" s="2225"/>
      <c r="AH9" s="2225"/>
      <c r="AT9" s="449">
        <v>44</v>
      </c>
    </row>
    <row customHeight="1" ht="12" hidden="1">
      <c r="C10" s="489"/>
      <c r="D10" s="450"/>
      <c r="E10" s="450"/>
      <c r="F10" s="450"/>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49"/>
      <c r="AP10" s="502"/>
      <c r="AQ10" s="502"/>
      <c r="AT10" s="449">
        <v>0</v>
      </c>
    </row>
    <row s="1643" customFormat="1" customHeight="1" ht="11.25" hidden="1">
      <c r="C11" s="500"/>
      <c r="D11" s="501" t="s">
        <v>376</v>
      </c>
      <c r="E11" s="501"/>
      <c r="F11" s="501"/>
      <c r="G11" s="501"/>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37"/>
      <c r="AF11" s="437"/>
      <c r="AG11" s="437"/>
      <c r="AH11" s="437"/>
      <c r="AJ11" s="491"/>
      <c r="AK11" s="491"/>
      <c r="AL11" s="491"/>
      <c r="AM11" s="491"/>
      <c r="AN11" s="491"/>
      <c r="AO11" s="491"/>
      <c r="AP11" s="491"/>
      <c r="AQ11" s="491"/>
      <c r="AR11" s="491"/>
      <c r="AS11" s="491"/>
      <c r="AT11" s="498">
        <v>0</v>
      </c>
    </row>
    <row customHeight="1" ht="14.699999999999998">
      <c r="A12" s="449"/>
      <c r="C12" s="452"/>
      <c r="D12" s="436" t="s">
        <v>109</v>
      </c>
      <c r="E12" s="1779" t="s">
        <v>22</v>
      </c>
      <c r="F12" s="857"/>
      <c r="G12" s="858"/>
      <c r="H12" s="1780"/>
      <c r="I12" s="1780"/>
      <c r="J12" s="435"/>
      <c r="K12" s="1865"/>
      <c r="L12" s="434"/>
      <c r="M12" s="1865"/>
      <c r="N12" s="435"/>
      <c r="O12" s="1865"/>
      <c r="P12" s="435"/>
      <c r="Q12" s="1865"/>
      <c r="R12" s="435"/>
      <c r="S12" s="856"/>
      <c r="T12" s="1780"/>
      <c r="U12" s="435"/>
      <c r="V12" s="435"/>
      <c r="W12" s="829"/>
      <c r="X12" s="1780"/>
      <c r="Y12" s="435"/>
      <c r="Z12" s="435"/>
      <c r="AA12" s="829"/>
      <c r="AB12" s="1780"/>
      <c r="AC12" s="435"/>
      <c r="AD12" s="829"/>
      <c r="AE12" s="2223" t="s">
        <v>377</v>
      </c>
      <c r="AF12" s="2223" t="s">
        <v>378</v>
      </c>
      <c r="AG12" s="2223" t="s">
        <v>379</v>
      </c>
      <c r="AH12" s="2223" t="s">
        <v>380</v>
      </c>
      <c r="AI12" s="449"/>
      <c r="AM12" s="513"/>
      <c r="AP12" s="502" t="s">
        <v>381</v>
      </c>
      <c r="AQ12" s="502" t="s">
        <v>381</v>
      </c>
      <c r="AT12" s="449">
        <v>14</v>
      </c>
    </row>
    <row customHeight="1" ht="18">
      <c r="A13" s="449"/>
      <c r="C13" s="452"/>
      <c r="D13" s="407"/>
      <c r="E13" s="871" t="str">
        <f>IF(TITLE_DIFFERENTIATION_TYPE="нет","","Добавить систему")</f>
        <v/>
      </c>
      <c r="F13" s="871" t="str">
        <f>IF(TITLE_DIFFERENTIATION_TYPE="нет","Добавить вид деятельности","")</f>
        <v>Добавить вид деятельности</v>
      </c>
      <c r="G13" s="315"/>
      <c r="H13" s="408"/>
      <c r="I13" s="408"/>
      <c r="J13" s="408"/>
      <c r="K13" s="408"/>
      <c r="L13" s="408"/>
      <c r="M13" s="408"/>
      <c r="N13" s="408"/>
      <c r="O13" s="408"/>
      <c r="P13" s="408"/>
      <c r="Q13" s="408"/>
      <c r="R13" s="408"/>
      <c r="S13" s="408"/>
      <c r="T13" s="408"/>
      <c r="U13" s="408"/>
      <c r="V13" s="408"/>
      <c r="W13" s="408"/>
      <c r="X13" s="408"/>
      <c r="Y13" s="408"/>
      <c r="Z13" s="408"/>
      <c r="AA13" s="408"/>
      <c r="AB13" s="408"/>
      <c r="AC13" s="408"/>
      <c r="AD13" s="859"/>
      <c r="AE13" s="2224"/>
      <c r="AF13" s="2224"/>
      <c r="AG13" s="2224"/>
      <c r="AH13" s="2224"/>
      <c r="AI13" s="449"/>
      <c r="AT13" s="449">
        <v>17</v>
      </c>
    </row>
    <row customHeight="1" ht="14.699999999999998">
      <c r="AI14" s="449"/>
      <c r="AT14" s="449">
        <v>14</v>
      </c>
    </row>
    <row customHeight="1" ht="14.699999999999998">
      <c r="E15" s="760"/>
      <c r="L15" s="760"/>
      <c r="AT15" s="449">
        <v>14</v>
      </c>
    </row>
    <row customHeight="1" ht="14.699999999999998">
      <c r="L16" s="760"/>
      <c r="AT16" s="449">
        <v>14</v>
      </c>
    </row>
    <row customHeight="1" ht="14.699999999999998">
      <c r="L17" s="760"/>
      <c r="AT17" s="449">
        <v>14</v>
      </c>
    </row>
    <row customHeight="1" ht="22.5" hidden="1">
      <c r="A18" s="451" t="s">
        <v>82</v>
      </c>
      <c r="B18" s="449">
        <v>0</v>
      </c>
      <c r="C18" s="453">
        <v>3</v>
      </c>
      <c r="D18" s="449">
        <v>5</v>
      </c>
      <c r="E18" s="449">
        <v>48</v>
      </c>
      <c r="F18" s="449">
        <v>38</v>
      </c>
      <c r="G18" s="760">
        <v>0</v>
      </c>
      <c r="H18" s="449">
        <v>0</v>
      </c>
      <c r="I18" s="449">
        <v>0</v>
      </c>
      <c r="J18" s="449">
        <v>0</v>
      </c>
      <c r="K18" s="449">
        <v>0</v>
      </c>
      <c r="L18" s="449">
        <v>0</v>
      </c>
      <c r="M18" s="449">
        <v>0</v>
      </c>
      <c r="N18" s="449">
        <v>0</v>
      </c>
      <c r="O18" s="449">
        <v>0</v>
      </c>
      <c r="P18" s="449">
        <v>0</v>
      </c>
      <c r="Q18" s="449">
        <v>0</v>
      </c>
      <c r="R18" s="449">
        <v>0</v>
      </c>
      <c r="S18" s="760">
        <v>0</v>
      </c>
      <c r="T18" s="507">
        <v>0</v>
      </c>
      <c r="U18" s="507">
        <v>0</v>
      </c>
      <c r="V18" s="507">
        <v>0</v>
      </c>
      <c r="W18" s="760">
        <v>0</v>
      </c>
      <c r="X18" s="507">
        <v>0</v>
      </c>
      <c r="Y18" s="507">
        <v>0</v>
      </c>
      <c r="Z18" s="507">
        <v>0</v>
      </c>
      <c r="AA18" s="760">
        <v>0</v>
      </c>
      <c r="AB18" s="507">
        <v>0</v>
      </c>
      <c r="AC18" s="507">
        <v>0</v>
      </c>
      <c r="AD18" s="760">
        <v>0</v>
      </c>
      <c r="AE18" s="449">
        <v>0</v>
      </c>
      <c r="AF18" s="507">
        <v>0</v>
      </c>
      <c r="AG18" s="507">
        <v>0</v>
      </c>
      <c r="AH18" s="507">
        <v>0</v>
      </c>
      <c r="AI18" s="454">
        <v>3</v>
      </c>
      <c r="AJ18" s="491">
        <v>10</v>
      </c>
      <c r="AK18" s="491">
        <v>10</v>
      </c>
      <c r="AL18" s="491">
        <v>10</v>
      </c>
      <c r="AM18" s="491">
        <v>0</v>
      </c>
      <c r="AN18" s="491">
        <v>15</v>
      </c>
      <c r="AO18" s="491">
        <v>16</v>
      </c>
      <c r="AP18" s="491">
        <v>10</v>
      </c>
      <c r="AQ18" s="491">
        <v>10</v>
      </c>
      <c r="AR18" s="491">
        <v>10</v>
      </c>
      <c r="AS18" s="491">
        <v>10</v>
      </c>
      <c r="AT18" s="449">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3AF7E4-2804-1951-6AC9-309B10B6033F}"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5" width="9.140625"/>
  </cols>
  <sheetData>
    <row customHeight="1" ht="11.25">
      <c r="A1" s="185" t="s">
        <v>132</v>
      </c>
      <c r="B1" s="185" t="s">
        <v>3685</v>
      </c>
    </row>
    <row customHeight="1" ht="11.25">
      <c r="A2" s="185" t="s">
        <v>98</v>
      </c>
      <c r="B2" s="185" t="s">
        <v>3686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87789F-D253-209F-C4CA-22CD6F1E670D}"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3687</v>
      </c>
      <c r="B1" s="837" t="s">
        <v>3688</v>
      </c>
    </row>
    <row customHeight="1" ht="11.25">
      <c r="A2" s="837">
        <v>4213775</v>
      </c>
      <c r="B2" s="837" t="s">
        <v>1221</v>
      </c>
    </row>
    <row customHeight="1" ht="11.25">
      <c r="A3" s="837">
        <v>4213784</v>
      </c>
      <c r="B3" s="837" t="s">
        <v>1255</v>
      </c>
    </row>
    <row customHeight="1" ht="11.25">
      <c r="A4" s="837">
        <v>4213781</v>
      </c>
      <c r="B4" s="837" t="s">
        <v>1248</v>
      </c>
    </row>
    <row customHeight="1" ht="11.25">
      <c r="A5" s="837">
        <v>4213776</v>
      </c>
      <c r="B5" s="837" t="s">
        <v>168</v>
      </c>
    </row>
    <row customHeight="1" ht="11.25">
      <c r="A6" s="837">
        <v>4213777</v>
      </c>
      <c r="B6" s="837" t="s">
        <v>174</v>
      </c>
    </row>
    <row customHeight="1" ht="11.25">
      <c r="A7" s="837">
        <v>4213778</v>
      </c>
      <c r="B7" s="837" t="s">
        <v>180</v>
      </c>
    </row>
    <row customHeight="1" ht="11.25">
      <c r="A8" s="837">
        <v>4213780</v>
      </c>
      <c r="B8" s="837" t="s">
        <v>186</v>
      </c>
    </row>
    <row customHeight="1" ht="11.25">
      <c r="A9" s="837">
        <v>4213779</v>
      </c>
      <c r="B9" s="837" t="s">
        <v>1388</v>
      </c>
    </row>
    <row customHeight="1" ht="11.25">
      <c r="A10" s="837">
        <v>4213783</v>
      </c>
      <c r="B10" s="837" t="s">
        <v>1402</v>
      </c>
    </row>
    <row customHeight="1" ht="11.25">
      <c r="A11" s="837">
        <v>4213782</v>
      </c>
      <c r="B11" s="837" t="s">
        <v>192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EED65E-D0D7-1CB3-AFD1-0DE101AD59EF}"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3687</v>
      </c>
      <c r="B1" s="837" t="s">
        <v>3689</v>
      </c>
    </row>
    <row customHeight="1" ht="11.25">
      <c r="A2" s="837" t="s">
        <v>3690</v>
      </c>
      <c r="B2" s="837" t="s">
        <v>1500</v>
      </c>
    </row>
    <row customHeight="1" ht="11.25">
      <c r="A3" s="837" t="s">
        <v>3691</v>
      </c>
      <c r="B3" s="837" t="s">
        <v>1510</v>
      </c>
    </row>
    <row customHeight="1" ht="11.25">
      <c r="A4" s="837" t="s">
        <v>3692</v>
      </c>
      <c r="B4" s="837" t="s">
        <v>1519</v>
      </c>
    </row>
    <row customHeight="1" ht="11.25">
      <c r="A5" s="837" t="s">
        <v>3693</v>
      </c>
      <c r="B5" s="837" t="s">
        <v>1528</v>
      </c>
    </row>
    <row customHeight="1" ht="11.25">
      <c r="A6" s="837" t="s">
        <v>3694</v>
      </c>
      <c r="B6" s="837" t="s">
        <v>1534</v>
      </c>
    </row>
    <row customHeight="1" ht="11.25">
      <c r="A7" s="837" t="s">
        <v>3695</v>
      </c>
      <c r="B7" s="837" t="s">
        <v>1541</v>
      </c>
    </row>
    <row customHeight="1" ht="11.25">
      <c r="A8" s="837" t="s">
        <v>3696</v>
      </c>
      <c r="B8" s="837" t="s">
        <v>1548</v>
      </c>
    </row>
    <row customHeight="1" ht="11.25">
      <c r="A9" s="837" t="s">
        <v>3697</v>
      </c>
      <c r="B9" s="837" t="s">
        <v>1554</v>
      </c>
    </row>
    <row customHeight="1" ht="11.25">
      <c r="A10" s="837" t="s">
        <v>119</v>
      </c>
      <c r="B10" s="837" t="s">
        <v>1558</v>
      </c>
    </row>
    <row customHeight="1" ht="11.25">
      <c r="A11" s="837" t="s">
        <v>3698</v>
      </c>
      <c r="B11" s="837" t="s">
        <v>1565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60D26C-B187-E103-6452-951C2DF5F906}" mc:Ignorable="x14ac xr xr2 xr3">
  <sheetPr>
    <tabColor rgb="FFFFCC99"/>
  </sheetPr>
  <dimension ref="A1:G79"/>
  <sheetViews>
    <sheetView topLeftCell="A1" showGridLines="0" workbookViewId="0">
      <selection activeCell="A1" sqref="A1"/>
    </sheetView>
  </sheetViews>
  <sheetFormatPr customHeight="1" defaultRowHeight="11.25"/>
  <sheetData>
    <row customHeight="1" ht="11.25">
      <c r="A1" s="375" t="s">
        <v>3478</v>
      </c>
      <c r="B1" s="375" t="s">
        <v>3479</v>
      </c>
      <c r="C1" s="375" t="s">
        <v>3480</v>
      </c>
      <c r="D1" s="375" t="s">
        <v>3481</v>
      </c>
      <c r="E1" s="0" t="s">
        <v>3482</v>
      </c>
      <c r="F1" s="0" t="s">
        <v>3483</v>
      </c>
      <c r="G1" s="0" t="s">
        <v>3484</v>
      </c>
    </row>
    <row customHeight="1" ht="11.25">
      <c r="A2" s="0" t="s">
        <v>16</v>
      </c>
      <c r="B2" s="0" t="s">
        <v>3485</v>
      </c>
      <c r="C2" s="0" t="s">
        <v>3486</v>
      </c>
      <c r="D2" s="0" t="s">
        <v>3485</v>
      </c>
      <c r="E2" s="0" t="s">
        <v>3486</v>
      </c>
      <c r="F2" s="0" t="s">
        <v>3487</v>
      </c>
      <c r="G2" s="0" t="s">
        <v>109</v>
      </c>
    </row>
    <row customHeight="1" ht="11.25">
      <c r="A3" s="0" t="s">
        <v>16</v>
      </c>
      <c r="B3" s="0" t="s">
        <v>3488</v>
      </c>
      <c r="C3" s="0" t="s">
        <v>3489</v>
      </c>
      <c r="D3" s="0" t="s">
        <v>3488</v>
      </c>
      <c r="E3" s="0" t="s">
        <v>3489</v>
      </c>
      <c r="F3" s="0" t="s">
        <v>3487</v>
      </c>
      <c r="G3" s="0" t="s">
        <v>110</v>
      </c>
    </row>
    <row customHeight="1" ht="11.25">
      <c r="A4" s="0" t="s">
        <v>16</v>
      </c>
      <c r="B4" s="0" t="s">
        <v>3490</v>
      </c>
      <c r="C4" s="0" t="s">
        <v>3491</v>
      </c>
      <c r="D4" s="0" t="s">
        <v>3490</v>
      </c>
      <c r="E4" s="0" t="s">
        <v>3491</v>
      </c>
      <c r="F4" s="0" t="s">
        <v>3487</v>
      </c>
      <c r="G4" s="0" t="s">
        <v>90</v>
      </c>
    </row>
    <row customHeight="1" ht="11.25">
      <c r="A5" s="0" t="s">
        <v>16</v>
      </c>
      <c r="B5" s="0" t="s">
        <v>3492</v>
      </c>
      <c r="C5" s="0" t="s">
        <v>3493</v>
      </c>
      <c r="D5" s="0" t="s">
        <v>3492</v>
      </c>
      <c r="E5" s="0" t="s">
        <v>3493</v>
      </c>
      <c r="F5" s="0" t="s">
        <v>3487</v>
      </c>
      <c r="G5" s="0" t="s">
        <v>91</v>
      </c>
    </row>
    <row customHeight="1" ht="11.25">
      <c r="A6" s="0" t="s">
        <v>16</v>
      </c>
      <c r="B6" s="0" t="s">
        <v>3494</v>
      </c>
      <c r="C6" s="0" t="s">
        <v>3495</v>
      </c>
      <c r="D6" s="0" t="s">
        <v>3496</v>
      </c>
      <c r="E6" s="0" t="s">
        <v>3497</v>
      </c>
      <c r="F6" s="0" t="s">
        <v>3498</v>
      </c>
      <c r="G6" s="0" t="s">
        <v>111</v>
      </c>
    </row>
    <row customHeight="1" ht="11.25">
      <c r="A7" s="0" t="s">
        <v>16</v>
      </c>
      <c r="B7" s="0" t="s">
        <v>3494</v>
      </c>
      <c r="C7" s="0" t="s">
        <v>3495</v>
      </c>
      <c r="D7" s="0" t="s">
        <v>3494</v>
      </c>
      <c r="E7" s="0" t="s">
        <v>3495</v>
      </c>
      <c r="F7" s="0" t="s">
        <v>3499</v>
      </c>
      <c r="G7" s="0" t="s">
        <v>92</v>
      </c>
    </row>
    <row customHeight="1" ht="11.25">
      <c r="A8" s="0" t="s">
        <v>16</v>
      </c>
      <c r="B8" s="0" t="s">
        <v>3494</v>
      </c>
      <c r="C8" s="0" t="s">
        <v>3495</v>
      </c>
      <c r="D8" s="0" t="s">
        <v>3500</v>
      </c>
      <c r="E8" s="0" t="s">
        <v>3501</v>
      </c>
      <c r="F8" s="0" t="s">
        <v>3498</v>
      </c>
      <c r="G8" s="0" t="s">
        <v>93</v>
      </c>
    </row>
    <row customHeight="1" ht="11.25">
      <c r="A9" s="0" t="s">
        <v>16</v>
      </c>
      <c r="B9" s="0" t="s">
        <v>3494</v>
      </c>
      <c r="C9" s="0" t="s">
        <v>3495</v>
      </c>
      <c r="D9" s="0" t="s">
        <v>3502</v>
      </c>
      <c r="E9" s="0" t="s">
        <v>3503</v>
      </c>
      <c r="F9" s="0" t="s">
        <v>3498</v>
      </c>
      <c r="G9" s="0" t="s">
        <v>112</v>
      </c>
    </row>
    <row customHeight="1" ht="11.25">
      <c r="A10" s="0" t="s">
        <v>16</v>
      </c>
      <c r="B10" s="0" t="s">
        <v>3504</v>
      </c>
      <c r="C10" s="0" t="s">
        <v>3505</v>
      </c>
      <c r="D10" s="0" t="s">
        <v>3504</v>
      </c>
      <c r="E10" s="0" t="s">
        <v>3505</v>
      </c>
      <c r="F10" s="0" t="s">
        <v>3487</v>
      </c>
      <c r="G10" s="0" t="s">
        <v>150</v>
      </c>
    </row>
    <row customHeight="1" ht="11.25">
      <c r="A11" s="0" t="s">
        <v>16</v>
      </c>
      <c r="B11" s="0" t="s">
        <v>3506</v>
      </c>
      <c r="C11" s="0" t="s">
        <v>3507</v>
      </c>
      <c r="D11" s="0" t="s">
        <v>3506</v>
      </c>
      <c r="E11" s="0" t="s">
        <v>3507</v>
      </c>
      <c r="F11" s="0" t="s">
        <v>3487</v>
      </c>
      <c r="G11" s="0" t="s">
        <v>151</v>
      </c>
    </row>
    <row customHeight="1" ht="11.25">
      <c r="A12" s="0" t="s">
        <v>16</v>
      </c>
      <c r="B12" s="0" t="s">
        <v>3508</v>
      </c>
      <c r="C12" s="0" t="s">
        <v>3509</v>
      </c>
      <c r="D12" s="0" t="s">
        <v>3508</v>
      </c>
      <c r="E12" s="0" t="s">
        <v>3509</v>
      </c>
      <c r="F12" s="0" t="s">
        <v>3487</v>
      </c>
      <c r="G12" s="0" t="s">
        <v>152</v>
      </c>
    </row>
    <row customHeight="1" ht="11.25">
      <c r="A13" s="0" t="s">
        <v>16</v>
      </c>
      <c r="B13" s="0" t="s">
        <v>3510</v>
      </c>
      <c r="C13" s="0" t="s">
        <v>3511</v>
      </c>
      <c r="D13" s="0" t="s">
        <v>3510</v>
      </c>
      <c r="E13" s="0" t="s">
        <v>3511</v>
      </c>
      <c r="F13" s="0" t="s">
        <v>3487</v>
      </c>
      <c r="G13" s="0" t="s">
        <v>153</v>
      </c>
    </row>
    <row customHeight="1" ht="11.25">
      <c r="A14" s="0" t="s">
        <v>16</v>
      </c>
      <c r="B14" s="0" t="s">
        <v>3512</v>
      </c>
      <c r="C14" s="0" t="s">
        <v>3513</v>
      </c>
      <c r="D14" s="0" t="s">
        <v>3514</v>
      </c>
      <c r="E14" s="0" t="s">
        <v>3515</v>
      </c>
      <c r="F14" s="0" t="s">
        <v>3498</v>
      </c>
      <c r="G14" s="0" t="s">
        <v>154</v>
      </c>
    </row>
    <row customHeight="1" ht="11.25">
      <c r="A15" s="0" t="s">
        <v>16</v>
      </c>
      <c r="B15" s="0" t="s">
        <v>3512</v>
      </c>
      <c r="C15" s="0" t="s">
        <v>3513</v>
      </c>
      <c r="D15" s="0" t="s">
        <v>3516</v>
      </c>
      <c r="E15" s="0" t="s">
        <v>3517</v>
      </c>
      <c r="F15" s="0" t="s">
        <v>3498</v>
      </c>
      <c r="G15" s="0" t="s">
        <v>155</v>
      </c>
    </row>
    <row customHeight="1" ht="11.25">
      <c r="A16" s="0" t="s">
        <v>16</v>
      </c>
      <c r="B16" s="0" t="s">
        <v>3512</v>
      </c>
      <c r="C16" s="0" t="s">
        <v>3513</v>
      </c>
      <c r="D16" s="0" t="s">
        <v>3518</v>
      </c>
      <c r="E16" s="0" t="s">
        <v>3519</v>
      </c>
      <c r="F16" s="0" t="s">
        <v>3498</v>
      </c>
      <c r="G16" s="0" t="s">
        <v>1462</v>
      </c>
    </row>
    <row customHeight="1" ht="11.25">
      <c r="A17" s="0" t="s">
        <v>16</v>
      </c>
      <c r="B17" s="0" t="s">
        <v>3512</v>
      </c>
      <c r="C17" s="0" t="s">
        <v>3513</v>
      </c>
      <c r="D17" s="0" t="s">
        <v>3520</v>
      </c>
      <c r="E17" s="0" t="s">
        <v>3521</v>
      </c>
      <c r="F17" s="0" t="s">
        <v>3498</v>
      </c>
      <c r="G17" s="0" t="s">
        <v>1468</v>
      </c>
    </row>
    <row customHeight="1" ht="11.25">
      <c r="A18" s="0" t="s">
        <v>16</v>
      </c>
      <c r="B18" s="0" t="s">
        <v>3512</v>
      </c>
      <c r="C18" s="0" t="s">
        <v>3513</v>
      </c>
      <c r="D18" s="0" t="s">
        <v>3512</v>
      </c>
      <c r="E18" s="0" t="s">
        <v>3513</v>
      </c>
      <c r="F18" s="0" t="s">
        <v>3499</v>
      </c>
      <c r="G18" s="0" t="s">
        <v>1480</v>
      </c>
    </row>
    <row customHeight="1" ht="11.25">
      <c r="A19" s="0" t="s">
        <v>16</v>
      </c>
      <c r="B19" s="0" t="s">
        <v>3512</v>
      </c>
      <c r="C19" s="0" t="s">
        <v>3513</v>
      </c>
      <c r="D19" s="0" t="s">
        <v>3522</v>
      </c>
      <c r="E19" s="0" t="s">
        <v>3523</v>
      </c>
      <c r="F19" s="0" t="s">
        <v>3524</v>
      </c>
      <c r="G19" s="0" t="s">
        <v>1494</v>
      </c>
    </row>
    <row customHeight="1" ht="11.25">
      <c r="A20" s="0" t="s">
        <v>16</v>
      </c>
      <c r="B20" s="0" t="s">
        <v>3512</v>
      </c>
      <c r="C20" s="0" t="s">
        <v>3513</v>
      </c>
      <c r="D20" s="0" t="s">
        <v>3525</v>
      </c>
      <c r="E20" s="0" t="s">
        <v>3526</v>
      </c>
      <c r="F20" s="0" t="s">
        <v>3498</v>
      </c>
      <c r="G20" s="0" t="s">
        <v>1506</v>
      </c>
    </row>
    <row customHeight="1" ht="11.25">
      <c r="A21" s="0" t="s">
        <v>16</v>
      </c>
      <c r="B21" s="0" t="s">
        <v>3512</v>
      </c>
      <c r="C21" s="0" t="s">
        <v>3513</v>
      </c>
      <c r="D21" s="0" t="s">
        <v>3527</v>
      </c>
      <c r="E21" s="0" t="s">
        <v>3528</v>
      </c>
      <c r="F21" s="0" t="s">
        <v>3498</v>
      </c>
      <c r="G21" s="0" t="s">
        <v>1515</v>
      </c>
    </row>
    <row customHeight="1" ht="11.25">
      <c r="A22" s="0" t="s">
        <v>16</v>
      </c>
      <c r="B22" s="0" t="s">
        <v>3512</v>
      </c>
      <c r="C22" s="0" t="s">
        <v>3513</v>
      </c>
      <c r="D22" s="0" t="s">
        <v>3529</v>
      </c>
      <c r="E22" s="0" t="s">
        <v>3530</v>
      </c>
      <c r="F22" s="0" t="s">
        <v>3498</v>
      </c>
      <c r="G22" s="0" t="s">
        <v>1531</v>
      </c>
    </row>
    <row customHeight="1" ht="11.25">
      <c r="A23" s="0" t="s">
        <v>16</v>
      </c>
      <c r="B23" s="0" t="s">
        <v>100</v>
      </c>
      <c r="C23" s="0" t="s">
        <v>101</v>
      </c>
      <c r="D23" s="0" t="s">
        <v>100</v>
      </c>
      <c r="E23" s="0" t="s">
        <v>101</v>
      </c>
      <c r="F23" s="0" t="s">
        <v>3531</v>
      </c>
      <c r="G23" s="0" t="s">
        <v>99</v>
      </c>
    </row>
    <row customHeight="1" ht="11.25">
      <c r="A24" s="0" t="s">
        <v>16</v>
      </c>
      <c r="B24" s="0" t="s">
        <v>3532</v>
      </c>
      <c r="C24" s="0" t="s">
        <v>3533</v>
      </c>
      <c r="D24" s="0" t="s">
        <v>3532</v>
      </c>
      <c r="E24" s="0" t="s">
        <v>3533</v>
      </c>
      <c r="F24" s="0" t="s">
        <v>3531</v>
      </c>
      <c r="G24" s="0" t="s">
        <v>1545</v>
      </c>
    </row>
    <row customHeight="1" ht="11.25">
      <c r="A25" s="0" t="s">
        <v>16</v>
      </c>
      <c r="B25" s="0" t="s">
        <v>3534</v>
      </c>
      <c r="C25" s="0" t="s">
        <v>3535</v>
      </c>
      <c r="D25" s="0" t="s">
        <v>3534</v>
      </c>
      <c r="E25" s="0" t="s">
        <v>3535</v>
      </c>
      <c r="F25" s="0" t="s">
        <v>3487</v>
      </c>
      <c r="G25" s="0" t="s">
        <v>1552</v>
      </c>
    </row>
    <row customHeight="1" ht="11.25">
      <c r="A26" s="0" t="s">
        <v>16</v>
      </c>
      <c r="B26" s="0" t="s">
        <v>3536</v>
      </c>
      <c r="C26" s="0" t="s">
        <v>3537</v>
      </c>
      <c r="D26" s="0" t="s">
        <v>3536</v>
      </c>
      <c r="E26" s="0" t="s">
        <v>3537</v>
      </c>
      <c r="F26" s="0" t="s">
        <v>3487</v>
      </c>
      <c r="G26" s="0" t="s">
        <v>1556</v>
      </c>
    </row>
    <row customHeight="1" ht="11.25">
      <c r="A27" s="0" t="s">
        <v>16</v>
      </c>
      <c r="B27" s="0" t="s">
        <v>3538</v>
      </c>
      <c r="C27" s="0" t="s">
        <v>3539</v>
      </c>
      <c r="D27" s="0" t="s">
        <v>3538</v>
      </c>
      <c r="E27" s="0" t="s">
        <v>3539</v>
      </c>
      <c r="F27" s="0" t="s">
        <v>3487</v>
      </c>
      <c r="G27" s="0" t="s">
        <v>1561</v>
      </c>
    </row>
    <row customHeight="1" ht="11.25">
      <c r="A28" s="0" t="s">
        <v>16</v>
      </c>
      <c r="B28" s="0" t="s">
        <v>3540</v>
      </c>
      <c r="C28" s="0" t="s">
        <v>3541</v>
      </c>
      <c r="D28" s="0" t="s">
        <v>3542</v>
      </c>
      <c r="E28" s="0" t="s">
        <v>3543</v>
      </c>
      <c r="F28" s="0" t="s">
        <v>3498</v>
      </c>
      <c r="G28" s="0" t="s">
        <v>1569</v>
      </c>
    </row>
    <row customHeight="1" ht="11.25">
      <c r="A29" s="0" t="s">
        <v>16</v>
      </c>
      <c r="B29" s="0" t="s">
        <v>3540</v>
      </c>
      <c r="C29" s="0" t="s">
        <v>3541</v>
      </c>
      <c r="D29" s="0" t="s">
        <v>3544</v>
      </c>
      <c r="E29" s="0" t="s">
        <v>3545</v>
      </c>
      <c r="F29" s="0" t="s">
        <v>3524</v>
      </c>
      <c r="G29" s="0" t="s">
        <v>1571</v>
      </c>
    </row>
    <row customHeight="1" ht="11.25">
      <c r="A30" s="0" t="s">
        <v>16</v>
      </c>
      <c r="B30" s="0" t="s">
        <v>3540</v>
      </c>
      <c r="C30" s="0" t="s">
        <v>3541</v>
      </c>
      <c r="D30" s="0" t="s">
        <v>3540</v>
      </c>
      <c r="E30" s="0" t="s">
        <v>3541</v>
      </c>
      <c r="F30" s="0" t="s">
        <v>3499</v>
      </c>
      <c r="G30" s="0" t="s">
        <v>1574</v>
      </c>
    </row>
    <row customHeight="1" ht="11.25">
      <c r="A31" s="0" t="s">
        <v>16</v>
      </c>
      <c r="B31" s="0" t="s">
        <v>3540</v>
      </c>
      <c r="C31" s="0" t="s">
        <v>3541</v>
      </c>
      <c r="D31" s="0" t="s">
        <v>3546</v>
      </c>
      <c r="E31" s="0" t="s">
        <v>3547</v>
      </c>
      <c r="F31" s="0" t="s">
        <v>3498</v>
      </c>
      <c r="G31" s="0" t="s">
        <v>1580</v>
      </c>
    </row>
    <row customHeight="1" ht="11.25">
      <c r="A32" s="0" t="s">
        <v>16</v>
      </c>
      <c r="B32" s="0" t="s">
        <v>3540</v>
      </c>
      <c r="C32" s="0" t="s">
        <v>3541</v>
      </c>
      <c r="D32" s="0" t="s">
        <v>3548</v>
      </c>
      <c r="E32" s="0" t="s">
        <v>3549</v>
      </c>
      <c r="F32" s="0" t="s">
        <v>3498</v>
      </c>
      <c r="G32" s="0" t="s">
        <v>1582</v>
      </c>
    </row>
    <row customHeight="1" ht="11.25">
      <c r="A33" s="0" t="s">
        <v>16</v>
      </c>
      <c r="B33" s="0" t="s">
        <v>3540</v>
      </c>
      <c r="C33" s="0" t="s">
        <v>3541</v>
      </c>
      <c r="D33" s="0" t="s">
        <v>3550</v>
      </c>
      <c r="E33" s="0" t="s">
        <v>3551</v>
      </c>
      <c r="F33" s="0" t="s">
        <v>3498</v>
      </c>
      <c r="G33" s="0" t="s">
        <v>1584</v>
      </c>
    </row>
    <row customHeight="1" ht="11.25">
      <c r="A34" s="0" t="s">
        <v>16</v>
      </c>
      <c r="B34" s="0" t="s">
        <v>3540</v>
      </c>
      <c r="C34" s="0" t="s">
        <v>3541</v>
      </c>
      <c r="D34" s="0" t="s">
        <v>3552</v>
      </c>
      <c r="E34" s="0" t="s">
        <v>3553</v>
      </c>
      <c r="F34" s="0" t="s">
        <v>3498</v>
      </c>
      <c r="G34" s="0" t="s">
        <v>1586</v>
      </c>
    </row>
    <row customHeight="1" ht="11.25">
      <c r="A35" s="0" t="s">
        <v>16</v>
      </c>
      <c r="B35" s="0" t="s">
        <v>3540</v>
      </c>
      <c r="C35" s="0" t="s">
        <v>3541</v>
      </c>
      <c r="D35" s="0" t="s">
        <v>3554</v>
      </c>
      <c r="E35" s="0" t="s">
        <v>3555</v>
      </c>
      <c r="F35" s="0" t="s">
        <v>3498</v>
      </c>
      <c r="G35" s="0" t="s">
        <v>1591</v>
      </c>
    </row>
    <row customHeight="1" ht="11.25">
      <c r="A36" s="0" t="s">
        <v>16</v>
      </c>
      <c r="B36" s="0" t="s">
        <v>3556</v>
      </c>
      <c r="C36" s="0" t="s">
        <v>3557</v>
      </c>
      <c r="D36" s="0" t="s">
        <v>3556</v>
      </c>
      <c r="E36" s="0" t="s">
        <v>3557</v>
      </c>
      <c r="F36" s="0" t="s">
        <v>3487</v>
      </c>
      <c r="G36" s="0" t="s">
        <v>1596</v>
      </c>
    </row>
    <row customHeight="1" ht="11.25">
      <c r="A37" s="0" t="s">
        <v>16</v>
      </c>
      <c r="B37" s="0" t="s">
        <v>3558</v>
      </c>
      <c r="C37" s="0" t="s">
        <v>3559</v>
      </c>
      <c r="D37" s="0" t="s">
        <v>3558</v>
      </c>
      <c r="E37" s="0" t="s">
        <v>3559</v>
      </c>
      <c r="F37" s="0" t="s">
        <v>3487</v>
      </c>
      <c r="G37" s="0" t="s">
        <v>1600</v>
      </c>
    </row>
    <row customHeight="1" ht="11.25">
      <c r="A38" s="0" t="s">
        <v>16</v>
      </c>
      <c r="B38" s="0" t="s">
        <v>3560</v>
      </c>
      <c r="C38" s="0" t="s">
        <v>3561</v>
      </c>
      <c r="D38" s="0" t="s">
        <v>3560</v>
      </c>
      <c r="E38" s="0" t="s">
        <v>3561</v>
      </c>
      <c r="F38" s="0" t="s">
        <v>3487</v>
      </c>
      <c r="G38" s="0" t="s">
        <v>1608</v>
      </c>
    </row>
    <row customHeight="1" ht="11.25">
      <c r="A39" s="0" t="s">
        <v>16</v>
      </c>
      <c r="B39" s="0" t="s">
        <v>3562</v>
      </c>
      <c r="C39" s="0" t="s">
        <v>3563</v>
      </c>
      <c r="D39" s="0" t="s">
        <v>3564</v>
      </c>
      <c r="E39" s="0" t="s">
        <v>3565</v>
      </c>
      <c r="F39" s="0" t="s">
        <v>3498</v>
      </c>
      <c r="G39" s="0" t="s">
        <v>1614</v>
      </c>
    </row>
    <row customHeight="1" ht="11.25">
      <c r="A40" s="0" t="s">
        <v>16</v>
      </c>
      <c r="B40" s="0" t="s">
        <v>3562</v>
      </c>
      <c r="C40" s="0" t="s">
        <v>3563</v>
      </c>
      <c r="D40" s="0" t="s">
        <v>3566</v>
      </c>
      <c r="E40" s="0" t="s">
        <v>3567</v>
      </c>
      <c r="F40" s="0" t="s">
        <v>3524</v>
      </c>
      <c r="G40" s="0" t="s">
        <v>1619</v>
      </c>
    </row>
    <row customHeight="1" ht="11.25">
      <c r="A41" s="0" t="s">
        <v>16</v>
      </c>
      <c r="B41" s="0" t="s">
        <v>3562</v>
      </c>
      <c r="C41" s="0" t="s">
        <v>3563</v>
      </c>
      <c r="D41" s="0" t="s">
        <v>3568</v>
      </c>
      <c r="E41" s="0" t="s">
        <v>3569</v>
      </c>
      <c r="F41" s="0" t="s">
        <v>3498</v>
      </c>
      <c r="G41" s="0" t="s">
        <v>1623</v>
      </c>
    </row>
    <row customHeight="1" ht="11.25">
      <c r="A42" s="0" t="s">
        <v>16</v>
      </c>
      <c r="B42" s="0" t="s">
        <v>3562</v>
      </c>
      <c r="C42" s="0" t="s">
        <v>3563</v>
      </c>
      <c r="D42" s="0" t="s">
        <v>3570</v>
      </c>
      <c r="E42" s="0" t="s">
        <v>3571</v>
      </c>
      <c r="F42" s="0" t="s">
        <v>3498</v>
      </c>
      <c r="G42" s="0" t="s">
        <v>1626</v>
      </c>
    </row>
    <row customHeight="1" ht="11.25">
      <c r="A43" s="0" t="s">
        <v>16</v>
      </c>
      <c r="B43" s="0" t="s">
        <v>3562</v>
      </c>
      <c r="C43" s="0" t="s">
        <v>3563</v>
      </c>
      <c r="D43" s="0" t="s">
        <v>3527</v>
      </c>
      <c r="E43" s="0" t="s">
        <v>3572</v>
      </c>
      <c r="F43" s="0" t="s">
        <v>3498</v>
      </c>
      <c r="G43" s="0" t="s">
        <v>1633</v>
      </c>
    </row>
    <row customHeight="1" ht="11.25">
      <c r="A44" s="0" t="s">
        <v>16</v>
      </c>
      <c r="B44" s="0" t="s">
        <v>3562</v>
      </c>
      <c r="C44" s="0" t="s">
        <v>3563</v>
      </c>
      <c r="D44" s="0" t="s">
        <v>3573</v>
      </c>
      <c r="E44" s="0" t="s">
        <v>3574</v>
      </c>
      <c r="F44" s="0" t="s">
        <v>3498</v>
      </c>
      <c r="G44" s="0" t="s">
        <v>1642</v>
      </c>
    </row>
    <row customHeight="1" ht="11.25">
      <c r="A45" s="0" t="s">
        <v>16</v>
      </c>
      <c r="B45" s="0" t="s">
        <v>3562</v>
      </c>
      <c r="C45" s="0" t="s">
        <v>3563</v>
      </c>
      <c r="D45" s="0" t="s">
        <v>3562</v>
      </c>
      <c r="E45" s="0" t="s">
        <v>3563</v>
      </c>
      <c r="F45" s="0" t="s">
        <v>3499</v>
      </c>
      <c r="G45" s="0" t="s">
        <v>1647</v>
      </c>
    </row>
    <row customHeight="1" ht="11.25">
      <c r="A46" s="0" t="s">
        <v>16</v>
      </c>
      <c r="B46" s="0" t="s">
        <v>3562</v>
      </c>
      <c r="C46" s="0" t="s">
        <v>3563</v>
      </c>
      <c r="D46" s="0" t="s">
        <v>3575</v>
      </c>
      <c r="E46" s="0" t="s">
        <v>3576</v>
      </c>
      <c r="F46" s="0" t="s">
        <v>3498</v>
      </c>
      <c r="G46" s="0" t="s">
        <v>1650</v>
      </c>
    </row>
    <row customHeight="1" ht="11.25">
      <c r="A47" s="0" t="s">
        <v>16</v>
      </c>
      <c r="B47" s="0" t="s">
        <v>3577</v>
      </c>
      <c r="C47" s="0" t="s">
        <v>3578</v>
      </c>
      <c r="D47" s="0" t="s">
        <v>3577</v>
      </c>
      <c r="E47" s="0" t="s">
        <v>3578</v>
      </c>
      <c r="F47" s="0" t="s">
        <v>3487</v>
      </c>
      <c r="G47" s="0" t="s">
        <v>1656</v>
      </c>
    </row>
    <row customHeight="1" ht="11.25">
      <c r="A48" s="0" t="s">
        <v>16</v>
      </c>
      <c r="B48" s="0" t="s">
        <v>3579</v>
      </c>
      <c r="C48" s="0" t="s">
        <v>3580</v>
      </c>
      <c r="D48" s="0" t="s">
        <v>3579</v>
      </c>
      <c r="E48" s="0" t="s">
        <v>3580</v>
      </c>
      <c r="F48" s="0" t="s">
        <v>3487</v>
      </c>
      <c r="G48" s="0" t="s">
        <v>1661</v>
      </c>
    </row>
    <row customHeight="1" ht="11.25">
      <c r="A49" s="0" t="s">
        <v>16</v>
      </c>
      <c r="B49" s="0" t="s">
        <v>3581</v>
      </c>
      <c r="C49" s="0" t="s">
        <v>3582</v>
      </c>
      <c r="D49" s="0" t="s">
        <v>3581</v>
      </c>
      <c r="E49" s="0" t="s">
        <v>3582</v>
      </c>
      <c r="F49" s="0" t="s">
        <v>3487</v>
      </c>
      <c r="G49" s="0" t="s">
        <v>1664</v>
      </c>
    </row>
    <row customHeight="1" ht="11.25">
      <c r="A50" s="0" t="s">
        <v>16</v>
      </c>
      <c r="B50" s="0" t="s">
        <v>3583</v>
      </c>
      <c r="C50" s="0" t="s">
        <v>3584</v>
      </c>
      <c r="D50" s="0" t="s">
        <v>3583</v>
      </c>
      <c r="E50" s="0" t="s">
        <v>3584</v>
      </c>
      <c r="F50" s="0" t="s">
        <v>3487</v>
      </c>
      <c r="G50" s="0" t="s">
        <v>1668</v>
      </c>
    </row>
    <row customHeight="1" ht="11.25">
      <c r="A51" s="0" t="s">
        <v>16</v>
      </c>
      <c r="B51" s="0" t="s">
        <v>3585</v>
      </c>
      <c r="C51" s="0" t="s">
        <v>3586</v>
      </c>
      <c r="D51" s="0" t="s">
        <v>3585</v>
      </c>
      <c r="E51" s="0" t="s">
        <v>3586</v>
      </c>
      <c r="F51" s="0" t="s">
        <v>3487</v>
      </c>
      <c r="G51" s="0" t="s">
        <v>1673</v>
      </c>
    </row>
    <row customHeight="1" ht="11.25">
      <c r="A52" s="0" t="s">
        <v>16</v>
      </c>
      <c r="B52" s="0" t="s">
        <v>3587</v>
      </c>
      <c r="C52" s="0" t="s">
        <v>3588</v>
      </c>
      <c r="D52" s="0" t="s">
        <v>3587</v>
      </c>
      <c r="E52" s="0" t="s">
        <v>3588</v>
      </c>
      <c r="F52" s="0" t="s">
        <v>3487</v>
      </c>
      <c r="G52" s="0" t="s">
        <v>1677</v>
      </c>
    </row>
    <row customHeight="1" ht="11.25">
      <c r="A53" s="0" t="s">
        <v>16</v>
      </c>
      <c r="B53" s="0" t="s">
        <v>3589</v>
      </c>
      <c r="C53" s="0" t="s">
        <v>3590</v>
      </c>
      <c r="D53" s="0" t="s">
        <v>3589</v>
      </c>
      <c r="E53" s="0" t="s">
        <v>3590</v>
      </c>
      <c r="F53" s="0" t="s">
        <v>3487</v>
      </c>
      <c r="G53" s="0" t="s">
        <v>1679</v>
      </c>
    </row>
    <row customHeight="1" ht="11.25">
      <c r="A54" s="0" t="s">
        <v>16</v>
      </c>
      <c r="B54" s="0" t="s">
        <v>3591</v>
      </c>
      <c r="C54" s="0" t="s">
        <v>3592</v>
      </c>
      <c r="D54" s="0" t="s">
        <v>3591</v>
      </c>
      <c r="E54" s="0" t="s">
        <v>3592</v>
      </c>
      <c r="F54" s="0" t="s">
        <v>3487</v>
      </c>
      <c r="G54" s="0" t="s">
        <v>1682</v>
      </c>
    </row>
    <row customHeight="1" ht="11.25">
      <c r="A55" s="0" t="s">
        <v>16</v>
      </c>
      <c r="B55" s="0" t="s">
        <v>3593</v>
      </c>
      <c r="C55" s="0" t="s">
        <v>3594</v>
      </c>
      <c r="D55" s="0" t="s">
        <v>3593</v>
      </c>
      <c r="E55" s="0" t="s">
        <v>3594</v>
      </c>
      <c r="F55" s="0" t="s">
        <v>3487</v>
      </c>
      <c r="G55" s="0" t="s">
        <v>1686</v>
      </c>
    </row>
    <row customHeight="1" ht="11.25">
      <c r="A56" s="0" t="s">
        <v>16</v>
      </c>
      <c r="B56" s="0" t="s">
        <v>3595</v>
      </c>
      <c r="C56" s="0" t="s">
        <v>3596</v>
      </c>
      <c r="D56" s="0" t="s">
        <v>3597</v>
      </c>
      <c r="E56" s="0" t="s">
        <v>3598</v>
      </c>
      <c r="F56" s="0" t="s">
        <v>3498</v>
      </c>
      <c r="G56" s="0" t="s">
        <v>1689</v>
      </c>
    </row>
    <row customHeight="1" ht="11.25">
      <c r="A57" s="0" t="s">
        <v>16</v>
      </c>
      <c r="B57" s="0" t="s">
        <v>3595</v>
      </c>
      <c r="C57" s="0" t="s">
        <v>3596</v>
      </c>
      <c r="D57" s="0" t="s">
        <v>3599</v>
      </c>
      <c r="E57" s="0" t="s">
        <v>3600</v>
      </c>
      <c r="F57" s="0" t="s">
        <v>3498</v>
      </c>
      <c r="G57" s="0" t="s">
        <v>1692</v>
      </c>
    </row>
    <row customHeight="1" ht="11.25">
      <c r="A58" s="0" t="s">
        <v>16</v>
      </c>
      <c r="B58" s="0" t="s">
        <v>3595</v>
      </c>
      <c r="C58" s="0" t="s">
        <v>3596</v>
      </c>
      <c r="D58" s="0" t="s">
        <v>3601</v>
      </c>
      <c r="E58" s="0" t="s">
        <v>3602</v>
      </c>
      <c r="F58" s="0" t="s">
        <v>3498</v>
      </c>
      <c r="G58" s="0" t="s">
        <v>1695</v>
      </c>
    </row>
    <row customHeight="1" ht="11.25">
      <c r="A59" s="0" t="s">
        <v>16</v>
      </c>
      <c r="B59" s="0" t="s">
        <v>3595</v>
      </c>
      <c r="C59" s="0" t="s">
        <v>3596</v>
      </c>
      <c r="D59" s="0" t="s">
        <v>3603</v>
      </c>
      <c r="E59" s="0" t="s">
        <v>3604</v>
      </c>
      <c r="F59" s="0" t="s">
        <v>3498</v>
      </c>
      <c r="G59" s="0" t="s">
        <v>1699</v>
      </c>
    </row>
    <row customHeight="1" ht="11.25">
      <c r="A60" s="0" t="s">
        <v>16</v>
      </c>
      <c r="B60" s="0" t="s">
        <v>3595</v>
      </c>
      <c r="C60" s="0" t="s">
        <v>3596</v>
      </c>
      <c r="D60" s="0" t="s">
        <v>3605</v>
      </c>
      <c r="E60" s="0" t="s">
        <v>3606</v>
      </c>
      <c r="F60" s="0" t="s">
        <v>3498</v>
      </c>
      <c r="G60" s="0" t="s">
        <v>1702</v>
      </c>
    </row>
    <row customHeight="1" ht="11.25">
      <c r="A61" s="0" t="s">
        <v>16</v>
      </c>
      <c r="B61" s="0" t="s">
        <v>3595</v>
      </c>
      <c r="C61" s="0" t="s">
        <v>3596</v>
      </c>
      <c r="D61" s="0" t="s">
        <v>3607</v>
      </c>
      <c r="E61" s="0" t="s">
        <v>3608</v>
      </c>
      <c r="F61" s="0" t="s">
        <v>3498</v>
      </c>
      <c r="G61" s="0" t="s">
        <v>3609</v>
      </c>
    </row>
    <row customHeight="1" ht="11.25">
      <c r="A62" s="0" t="s">
        <v>16</v>
      </c>
      <c r="B62" s="0" t="s">
        <v>3595</v>
      </c>
      <c r="C62" s="0" t="s">
        <v>3596</v>
      </c>
      <c r="D62" s="0" t="s">
        <v>3610</v>
      </c>
      <c r="E62" s="0" t="s">
        <v>3611</v>
      </c>
      <c r="F62" s="0" t="s">
        <v>3498</v>
      </c>
      <c r="G62" s="0" t="s">
        <v>3612</v>
      </c>
    </row>
    <row customHeight="1" ht="11.25">
      <c r="A63" s="0" t="s">
        <v>16</v>
      </c>
      <c r="B63" s="0" t="s">
        <v>3595</v>
      </c>
      <c r="C63" s="0" t="s">
        <v>3596</v>
      </c>
      <c r="D63" s="0" t="s">
        <v>3613</v>
      </c>
      <c r="E63" s="0" t="s">
        <v>3614</v>
      </c>
      <c r="F63" s="0" t="s">
        <v>3498</v>
      </c>
      <c r="G63" s="0" t="s">
        <v>3615</v>
      </c>
    </row>
    <row customHeight="1" ht="11.25">
      <c r="A64" s="0" t="s">
        <v>16</v>
      </c>
      <c r="B64" s="0" t="s">
        <v>3595</v>
      </c>
      <c r="C64" s="0" t="s">
        <v>3596</v>
      </c>
      <c r="D64" s="0" t="s">
        <v>3616</v>
      </c>
      <c r="E64" s="0" t="s">
        <v>3617</v>
      </c>
      <c r="F64" s="0" t="s">
        <v>3498</v>
      </c>
      <c r="G64" s="0" t="s">
        <v>3618</v>
      </c>
    </row>
    <row customHeight="1" ht="11.25">
      <c r="A65" s="0" t="s">
        <v>16</v>
      </c>
      <c r="B65" s="0" t="s">
        <v>3595</v>
      </c>
      <c r="C65" s="0" t="s">
        <v>3596</v>
      </c>
      <c r="D65" s="0" t="s">
        <v>3619</v>
      </c>
      <c r="E65" s="0" t="s">
        <v>3620</v>
      </c>
      <c r="F65" s="0" t="s">
        <v>3498</v>
      </c>
      <c r="G65" s="0" t="s">
        <v>3621</v>
      </c>
    </row>
    <row customHeight="1" ht="11.25">
      <c r="A66" s="0" t="s">
        <v>16</v>
      </c>
      <c r="B66" s="0" t="s">
        <v>3595</v>
      </c>
      <c r="C66" s="0" t="s">
        <v>3596</v>
      </c>
      <c r="D66" s="0" t="s">
        <v>3595</v>
      </c>
      <c r="E66" s="0" t="s">
        <v>3596</v>
      </c>
      <c r="F66" s="0" t="s">
        <v>3499</v>
      </c>
      <c r="G66" s="0" t="s">
        <v>3622</v>
      </c>
    </row>
    <row customHeight="1" ht="11.25">
      <c r="A67" s="0" t="s">
        <v>16</v>
      </c>
      <c r="B67" s="0" t="s">
        <v>3595</v>
      </c>
      <c r="C67" s="0" t="s">
        <v>3596</v>
      </c>
      <c r="D67" s="0" t="s">
        <v>3623</v>
      </c>
      <c r="E67" s="0" t="s">
        <v>3624</v>
      </c>
      <c r="F67" s="0" t="s">
        <v>3498</v>
      </c>
      <c r="G67" s="0" t="s">
        <v>2020</v>
      </c>
    </row>
    <row customHeight="1" ht="11.25">
      <c r="A68" s="0" t="s">
        <v>16</v>
      </c>
      <c r="B68" s="0" t="s">
        <v>3595</v>
      </c>
      <c r="C68" s="0" t="s">
        <v>3596</v>
      </c>
      <c r="D68" s="0" t="s">
        <v>3625</v>
      </c>
      <c r="E68" s="0" t="s">
        <v>3626</v>
      </c>
      <c r="F68" s="0" t="s">
        <v>3498</v>
      </c>
      <c r="G68" s="0" t="s">
        <v>3627</v>
      </c>
    </row>
    <row customHeight="1" ht="11.25">
      <c r="A69" s="0" t="s">
        <v>16</v>
      </c>
      <c r="B69" s="0" t="s">
        <v>3595</v>
      </c>
      <c r="C69" s="0" t="s">
        <v>3596</v>
      </c>
      <c r="D69" s="0" t="s">
        <v>3628</v>
      </c>
      <c r="E69" s="0" t="s">
        <v>3629</v>
      </c>
      <c r="F69" s="0" t="s">
        <v>3498</v>
      </c>
      <c r="G69" s="0" t="s">
        <v>2223</v>
      </c>
    </row>
    <row customHeight="1" ht="11.25">
      <c r="A70" s="0" t="s">
        <v>16</v>
      </c>
      <c r="B70" s="0" t="s">
        <v>3630</v>
      </c>
      <c r="C70" s="0" t="s">
        <v>3631</v>
      </c>
      <c r="D70" s="0" t="s">
        <v>3632</v>
      </c>
      <c r="E70" s="0" t="s">
        <v>3633</v>
      </c>
      <c r="F70" s="0" t="s">
        <v>3498</v>
      </c>
      <c r="G70" s="0" t="s">
        <v>3634</v>
      </c>
    </row>
    <row customHeight="1" ht="11.25">
      <c r="A71" s="0" t="s">
        <v>16</v>
      </c>
      <c r="B71" s="0" t="s">
        <v>3630</v>
      </c>
      <c r="C71" s="0" t="s">
        <v>3631</v>
      </c>
      <c r="D71" s="0" t="s">
        <v>3635</v>
      </c>
      <c r="E71" s="0" t="s">
        <v>3636</v>
      </c>
      <c r="F71" s="0" t="s">
        <v>3498</v>
      </c>
      <c r="G71" s="0" t="s">
        <v>3637</v>
      </c>
    </row>
    <row customHeight="1" ht="11.25">
      <c r="A72" s="0" t="s">
        <v>16</v>
      </c>
      <c r="B72" s="0" t="s">
        <v>3630</v>
      </c>
      <c r="C72" s="0" t="s">
        <v>3631</v>
      </c>
      <c r="D72" s="0" t="s">
        <v>3575</v>
      </c>
      <c r="E72" s="0" t="s">
        <v>3638</v>
      </c>
      <c r="F72" s="0" t="s">
        <v>3498</v>
      </c>
      <c r="G72" s="0" t="s">
        <v>3639</v>
      </c>
    </row>
    <row customHeight="1" ht="11.25">
      <c r="A73" s="0" t="s">
        <v>16</v>
      </c>
      <c r="B73" s="0" t="s">
        <v>3630</v>
      </c>
      <c r="C73" s="0" t="s">
        <v>3631</v>
      </c>
      <c r="D73" s="0" t="s">
        <v>3640</v>
      </c>
      <c r="E73" s="0" t="s">
        <v>3641</v>
      </c>
      <c r="F73" s="0" t="s">
        <v>3498</v>
      </c>
      <c r="G73" s="0" t="s">
        <v>3642</v>
      </c>
    </row>
    <row customHeight="1" ht="11.25">
      <c r="A74" s="0" t="s">
        <v>16</v>
      </c>
      <c r="B74" s="0" t="s">
        <v>3630</v>
      </c>
      <c r="C74" s="0" t="s">
        <v>3631</v>
      </c>
      <c r="D74" s="0" t="s">
        <v>3643</v>
      </c>
      <c r="E74" s="0" t="s">
        <v>3644</v>
      </c>
      <c r="F74" s="0" t="s">
        <v>3645</v>
      </c>
      <c r="G74" s="0" t="s">
        <v>3646</v>
      </c>
    </row>
    <row customHeight="1" ht="11.25">
      <c r="A75" s="0" t="s">
        <v>16</v>
      </c>
      <c r="B75" s="0" t="s">
        <v>3630</v>
      </c>
      <c r="C75" s="0" t="s">
        <v>3631</v>
      </c>
      <c r="D75" s="0" t="s">
        <v>3647</v>
      </c>
      <c r="E75" s="0" t="s">
        <v>3648</v>
      </c>
      <c r="F75" s="0" t="s">
        <v>3498</v>
      </c>
      <c r="G75" s="0" t="s">
        <v>3649</v>
      </c>
    </row>
    <row customHeight="1" ht="11.25">
      <c r="A76" s="0" t="s">
        <v>16</v>
      </c>
      <c r="B76" s="0" t="s">
        <v>3630</v>
      </c>
      <c r="C76" s="0" t="s">
        <v>3631</v>
      </c>
      <c r="D76" s="0" t="s">
        <v>3650</v>
      </c>
      <c r="E76" s="0" t="s">
        <v>3651</v>
      </c>
      <c r="F76" s="0" t="s">
        <v>3498</v>
      </c>
      <c r="G76" s="0" t="s">
        <v>3652</v>
      </c>
    </row>
    <row customHeight="1" ht="11.25">
      <c r="A77" s="0" t="s">
        <v>16</v>
      </c>
      <c r="B77" s="0" t="s">
        <v>3630</v>
      </c>
      <c r="C77" s="0" t="s">
        <v>3631</v>
      </c>
      <c r="D77" s="0" t="s">
        <v>3653</v>
      </c>
      <c r="E77" s="0" t="s">
        <v>3654</v>
      </c>
      <c r="F77" s="0" t="s">
        <v>3498</v>
      </c>
      <c r="G77" s="0" t="s">
        <v>3655</v>
      </c>
    </row>
    <row customHeight="1" ht="11.25">
      <c r="A78" s="0" t="s">
        <v>16</v>
      </c>
      <c r="B78" s="0" t="s">
        <v>3630</v>
      </c>
      <c r="C78" s="0" t="s">
        <v>3631</v>
      </c>
      <c r="D78" s="0" t="s">
        <v>3656</v>
      </c>
      <c r="E78" s="0" t="s">
        <v>3657</v>
      </c>
      <c r="F78" s="0" t="s">
        <v>3498</v>
      </c>
      <c r="G78" s="0" t="s">
        <v>3658</v>
      </c>
    </row>
    <row customHeight="1" ht="11.25">
      <c r="A79" s="0" t="s">
        <v>16</v>
      </c>
      <c r="B79" s="0" t="s">
        <v>3630</v>
      </c>
      <c r="C79" s="0" t="s">
        <v>3631</v>
      </c>
      <c r="D79" s="0" t="s">
        <v>3630</v>
      </c>
      <c r="E79" s="0" t="s">
        <v>3631</v>
      </c>
      <c r="F79" s="0" t="s">
        <v>3499</v>
      </c>
      <c r="G79" s="0" t="s">
        <v>3659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35ADE2-8552-94F9-2FC4-186D62E38895}"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3" width="9.140625"/>
    <col min="2" max="2" style="1693" width="84.28125" customWidth="1"/>
    <col min="3" max="3" style="1693" width="9.140625"/>
  </cols>
  <sheetData>
    <row customHeight="1" ht="11.25">
      <c r="A1" s="837" t="s">
        <v>3699</v>
      </c>
      <c r="B1" s="837" t="s">
        <v>3700</v>
      </c>
      <c r="C1" s="837" t="s">
        <v>1166</v>
      </c>
    </row>
    <row customHeight="1" ht="11.25">
      <c r="A2" s="837">
        <v>4189678</v>
      </c>
      <c r="B2" s="837" t="s">
        <v>3701</v>
      </c>
      <c r="C2" s="837" t="s">
        <v>3702</v>
      </c>
    </row>
    <row customHeight="1" ht="11.25">
      <c r="A3" s="837">
        <v>4190415</v>
      </c>
      <c r="B3" s="837" t="s">
        <v>3703</v>
      </c>
      <c r="C3" s="837" t="s">
        <v>3702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6345D3-32D8-5D96-FB9F-12C1E9746652}"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4" width="38.421875" customWidth="1"/>
    <col min="2" max="5" style="164" width="9.140625"/>
  </cols>
  <sheetData>
    <row customHeight="1" ht="15">
      <c r="A1" s="165" t="s">
        <v>3704</v>
      </c>
      <c r="B1" s="165" t="s">
        <v>3705</v>
      </c>
      <c r="C1" s="165"/>
      <c r="D1" s="165"/>
      <c r="E1" s="165"/>
    </row>
    <row customHeight="1" ht="15">
      <c r="A2" s="165"/>
      <c r="B2" s="165"/>
      <c r="C2" s="165"/>
      <c r="D2" s="165"/>
      <c r="E2" s="165"/>
    </row>
    <row customHeight="1" ht="15">
      <c r="A3" s="165"/>
      <c r="B3" s="165"/>
      <c r="C3" s="165"/>
      <c r="D3" s="165"/>
      <c r="E3" s="165"/>
    </row>
    <row customHeight="1" ht="15">
      <c r="A4" s="165"/>
      <c r="B4" s="165"/>
      <c r="C4" s="165"/>
      <c r="D4" s="165"/>
      <c r="E4" s="165"/>
    </row>
    <row customHeight="1" ht="15">
      <c r="A5" s="165"/>
      <c r="B5" s="165"/>
      <c r="C5" s="165"/>
      <c r="D5" s="165"/>
      <c r="E5" s="165"/>
    </row>
    <row customHeight="1" ht="15">
      <c r="A6" s="165"/>
      <c r="B6" s="165"/>
      <c r="C6" s="165"/>
      <c r="D6" s="165"/>
      <c r="E6" s="165"/>
    </row>
    <row customHeight="1" ht="15">
      <c r="A7" s="165"/>
      <c r="B7" s="165"/>
      <c r="C7" s="165"/>
      <c r="D7" s="165"/>
      <c r="E7" s="165"/>
    </row>
    <row customHeight="1" ht="15">
      <c r="A8" s="165"/>
      <c r="B8" s="165"/>
      <c r="C8" s="165"/>
      <c r="D8" s="165"/>
      <c r="E8" s="165"/>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08A75F-2E03-9885-AE2B-F732BDF04DEB}"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3706</v>
      </c>
      <c r="B1" s="0" t="b">
        <v>1</v>
      </c>
    </row>
    <row customHeight="1" ht="11.25">
      <c r="A2" s="0" t="s">
        <v>3707</v>
      </c>
      <c r="B2" s="0" t="b">
        <v>0</v>
      </c>
    </row>
    <row customHeight="1" ht="11.25">
      <c r="A3" s="0" t="s">
        <v>3708</v>
      </c>
      <c r="B3" s="0" t="b">
        <v>1</v>
      </c>
    </row>
    <row customHeight="1" ht="11.25">
      <c r="A4" s="0" t="s">
        <v>3709</v>
      </c>
      <c r="B4" s="0" t="b">
        <v>0</v>
      </c>
    </row>
    <row customHeight="1" ht="11.25">
      <c r="A5" s="0" t="s">
        <v>3710</v>
      </c>
      <c r="B5" s="0" t="b">
        <v>0</v>
      </c>
    </row>
    <row customHeight="1" ht="11.25">
      <c r="A6" s="0" t="s">
        <v>3711</v>
      </c>
      <c r="B6" s="0" t="b">
        <v>0</v>
      </c>
    </row>
    <row customHeight="1" ht="11.25">
      <c r="A7" s="0" t="s">
        <v>3712</v>
      </c>
      <c r="B7" s="0" t="b">
        <v>0</v>
      </c>
    </row>
    <row customHeight="1" ht="11.25">
      <c r="A8" s="0" t="s">
        <v>3713</v>
      </c>
      <c r="B8" s="0" t="b">
        <v>0</v>
      </c>
    </row>
    <row customHeight="1" ht="11.25">
      <c r="A9" s="0" t="s">
        <v>3714</v>
      </c>
      <c r="B9" s="0" t="b">
        <v>0</v>
      </c>
    </row>
    <row customHeight="1" ht="11.25">
      <c r="A10" s="0" t="s">
        <v>3715</v>
      </c>
      <c r="B10" s="0" t="b">
        <v>0</v>
      </c>
    </row>
    <row customHeight="1" ht="11.25">
      <c r="A11" s="0" t="s">
        <v>3716</v>
      </c>
      <c r="B11" s="0" t="b">
        <v>1</v>
      </c>
    </row>
    <row customHeight="1" ht="11.25">
      <c r="A12" s="0" t="s">
        <v>3717</v>
      </c>
      <c r="B12" s="0" t="b">
        <v>0</v>
      </c>
    </row>
    <row customHeight="1" ht="11.25">
      <c r="A13" s="0" t="s">
        <v>3718</v>
      </c>
      <c r="B13" s="0" t="b">
        <v>0</v>
      </c>
    </row>
    <row customHeight="1" ht="11.25">
      <c r="A14" s="0" t="s">
        <v>3719</v>
      </c>
      <c r="B14" s="0" t="b">
        <v>0</v>
      </c>
    </row>
    <row customHeight="1" ht="11.25">
      <c r="A15" s="0" t="s">
        <v>3720</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64F1CF-BB9A-14DC-7359-FC869C72952E}"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35"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93C936-2AEC-1EEA-4A65-C913532C7A59}"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2" width="36.28125" customWidth="1"/>
    <col min="2" max="2" style="1852" width="21.140625" customWidth="1"/>
  </cols>
  <sheetData>
    <row customHeight="1" ht="11.25">
      <c r="A1" s="69" t="s">
        <v>3721</v>
      </c>
      <c r="B1" s="69" t="s">
        <v>3722</v>
      </c>
    </row>
    <row customHeight="1" ht="11.25">
      <c r="A2" s="66" t="s">
        <v>3723</v>
      </c>
      <c r="B2" s="66" t="s">
        <v>3724</v>
      </c>
    </row>
    <row customHeight="1" ht="11.25">
      <c r="A3" s="66" t="s">
        <v>3725</v>
      </c>
      <c r="B3" s="66" t="s">
        <v>3726</v>
      </c>
    </row>
    <row customHeight="1" ht="11.25">
      <c r="A4" s="66" t="s">
        <v>3727</v>
      </c>
      <c r="B4" s="66" t="s">
        <v>3728</v>
      </c>
    </row>
    <row customHeight="1" ht="11.25">
      <c r="A5" s="66" t="s">
        <v>3729</v>
      </c>
      <c r="B5" s="66" t="s">
        <v>3730</v>
      </c>
    </row>
    <row customHeight="1" ht="11.25">
      <c r="A6" s="66" t="s">
        <v>3731</v>
      </c>
      <c r="B6" s="66" t="s">
        <v>3732</v>
      </c>
    </row>
    <row customHeight="1" ht="11.25">
      <c r="A7" s="66" t="s">
        <v>3733</v>
      </c>
      <c r="B7" s="66" t="s">
        <v>3734</v>
      </c>
    </row>
    <row customHeight="1" ht="11.25">
      <c r="A8" s="66" t="s">
        <v>3735</v>
      </c>
      <c r="B8" s="66" t="s">
        <v>3736</v>
      </c>
    </row>
    <row customHeight="1" ht="11.25">
      <c r="A9" s="66" t="s">
        <v>3737</v>
      </c>
      <c r="B9" s="66" t="s">
        <v>3738</v>
      </c>
    </row>
    <row customHeight="1" ht="11.25">
      <c r="A10" s="66" t="s">
        <v>3739</v>
      </c>
      <c r="B10" s="66" t="s">
        <v>3740</v>
      </c>
    </row>
    <row customHeight="1" ht="11.25">
      <c r="A11" s="66" t="s">
        <v>3741</v>
      </c>
      <c r="B11" s="66" t="s">
        <v>3742</v>
      </c>
    </row>
    <row customHeight="1" ht="11.25">
      <c r="A12" s="66" t="s">
        <v>3743</v>
      </c>
      <c r="B12" s="66" t="s">
        <v>3744</v>
      </c>
    </row>
    <row customHeight="1" ht="11.25">
      <c r="A13" s="66" t="s">
        <v>3745</v>
      </c>
      <c r="B13" s="66" t="s">
        <v>3746</v>
      </c>
    </row>
    <row customHeight="1" ht="11.25">
      <c r="A14" s="66" t="s">
        <v>3747</v>
      </c>
      <c r="B14" s="66" t="s">
        <v>3748</v>
      </c>
    </row>
    <row customHeight="1" ht="11.25">
      <c r="A15" s="66" t="s">
        <v>3749</v>
      </c>
      <c r="B15" s="66" t="s">
        <v>3750</v>
      </c>
    </row>
    <row customHeight="1" ht="11.25">
      <c r="A16" s="66" t="s">
        <v>3751</v>
      </c>
      <c r="B16" s="66" t="s">
        <v>3752</v>
      </c>
    </row>
    <row customHeight="1" ht="11.25">
      <c r="A17" s="66" t="s">
        <v>3753</v>
      </c>
      <c r="B17" s="66" t="s">
        <v>3754</v>
      </c>
    </row>
    <row customHeight="1" ht="11.25">
      <c r="A18" s="66" t="s">
        <v>3755</v>
      </c>
      <c r="B18" s="66" t="s">
        <v>3756</v>
      </c>
    </row>
    <row customHeight="1" ht="11.25">
      <c r="A19" s="66" t="s">
        <v>3757</v>
      </c>
      <c r="B19" s="66" t="s">
        <v>3758</v>
      </c>
    </row>
    <row customHeight="1" ht="11.25">
      <c r="A20" s="66" t="s">
        <v>3759</v>
      </c>
      <c r="B20" s="66" t="s">
        <v>3760</v>
      </c>
    </row>
    <row customHeight="1" ht="11.25">
      <c r="A21" s="66" t="s">
        <v>3761</v>
      </c>
      <c r="B21" s="66" t="s">
        <v>3762</v>
      </c>
    </row>
    <row customHeight="1" ht="11.25">
      <c r="A22" s="66" t="s">
        <v>3763</v>
      </c>
      <c r="B22" s="66" t="s">
        <v>3764</v>
      </c>
    </row>
    <row customHeight="1" ht="11.25">
      <c r="A23" s="66" t="s">
        <v>3765</v>
      </c>
      <c r="B23" s="66" t="s">
        <v>3766</v>
      </c>
    </row>
    <row customHeight="1" ht="11.25">
      <c r="A24" s="66" t="s">
        <v>3767</v>
      </c>
      <c r="B24" s="66" t="s">
        <v>3768</v>
      </c>
    </row>
    <row customHeight="1" ht="11.25">
      <c r="A25" s="66" t="s">
        <v>3769</v>
      </c>
      <c r="B25" s="66" t="s">
        <v>3770</v>
      </c>
    </row>
    <row customHeight="1" ht="11.25">
      <c r="A26" s="66" t="s">
        <v>3771</v>
      </c>
      <c r="B26" s="66" t="s">
        <v>3772</v>
      </c>
    </row>
    <row customHeight="1" ht="11.25">
      <c r="A27" s="66" t="s">
        <v>3773</v>
      </c>
      <c r="B27" s="66" t="s">
        <v>3774</v>
      </c>
    </row>
    <row customHeight="1" ht="11.25">
      <c r="A28" s="66" t="s">
        <v>3775</v>
      </c>
      <c r="B28" s="66" t="s">
        <v>3776</v>
      </c>
    </row>
    <row customHeight="1" ht="11.25">
      <c r="A29" s="66" t="s">
        <v>3777</v>
      </c>
      <c r="B29" s="66" t="s">
        <v>3778</v>
      </c>
    </row>
    <row customHeight="1" ht="11.25">
      <c r="A30" s="66" t="s">
        <v>3779</v>
      </c>
      <c r="B30" s="66" t="s">
        <v>3780</v>
      </c>
    </row>
    <row customHeight="1" ht="11.25">
      <c r="A31" s="66" t="s">
        <v>3781</v>
      </c>
      <c r="B31" s="66" t="s">
        <v>3782</v>
      </c>
    </row>
    <row customHeight="1" ht="11.25">
      <c r="A32" s="66" t="s">
        <v>3783</v>
      </c>
      <c r="B32" s="66" t="s">
        <v>3784</v>
      </c>
    </row>
    <row customHeight="1" ht="11.25">
      <c r="A33" s="66" t="s">
        <v>3785</v>
      </c>
      <c r="B33" s="66" t="s">
        <v>3786</v>
      </c>
    </row>
    <row customHeight="1" ht="11.25">
      <c r="A34" s="66" t="s">
        <v>3787</v>
      </c>
      <c r="B34" s="66" t="s">
        <v>3788</v>
      </c>
    </row>
    <row customHeight="1" ht="11.25">
      <c r="A35" s="66" t="s">
        <v>3789</v>
      </c>
      <c r="B35" s="66" t="s">
        <v>3790</v>
      </c>
    </row>
    <row customHeight="1" ht="11.25">
      <c r="A36" s="66" t="s">
        <v>3791</v>
      </c>
      <c r="B36" s="66" t="s">
        <v>3792</v>
      </c>
    </row>
    <row customHeight="1" ht="11.25">
      <c r="A37" s="66" t="s">
        <v>3793</v>
      </c>
      <c r="B37" s="66" t="s">
        <v>3794</v>
      </c>
    </row>
    <row customHeight="1" ht="11.25">
      <c r="A38" s="66" t="s">
        <v>3795</v>
      </c>
      <c r="B38" s="66" t="s">
        <v>3796</v>
      </c>
    </row>
    <row customHeight="1" ht="11.25">
      <c r="A39" s="66" t="s">
        <v>3797</v>
      </c>
      <c r="B39" s="66" t="s">
        <v>3798</v>
      </c>
    </row>
    <row customHeight="1" ht="11.25">
      <c r="A40" s="66" t="s">
        <v>3799</v>
      </c>
      <c r="B40" s="66" t="s">
        <v>3800</v>
      </c>
    </row>
    <row customHeight="1" ht="11.25">
      <c r="A41" s="66" t="s">
        <v>3801</v>
      </c>
      <c r="B41" s="66" t="s">
        <v>3802</v>
      </c>
    </row>
    <row customHeight="1" ht="11.25">
      <c r="A42" s="66" t="s">
        <v>3803</v>
      </c>
      <c r="B42" s="66" t="s">
        <v>3804</v>
      </c>
    </row>
    <row customHeight="1" ht="11.25">
      <c r="A43" s="66" t="s">
        <v>3805</v>
      </c>
      <c r="B43" s="66" t="s">
        <v>3806</v>
      </c>
    </row>
    <row customHeight="1" ht="11.25">
      <c r="A44" s="66" t="s">
        <v>3807</v>
      </c>
      <c r="B44" s="66" t="s">
        <v>3808</v>
      </c>
    </row>
    <row customHeight="1" ht="11.25">
      <c r="A45" s="66" t="s">
        <v>3809</v>
      </c>
      <c r="B45" s="66" t="s">
        <v>3810</v>
      </c>
    </row>
    <row customHeight="1" ht="11.25">
      <c r="A46" s="66" t="s">
        <v>3811</v>
      </c>
      <c r="B46" s="66" t="s">
        <v>3812</v>
      </c>
    </row>
    <row customHeight="1" ht="11.25">
      <c r="A47" s="66" t="s">
        <v>3813</v>
      </c>
      <c r="B47" s="66" t="s">
        <v>3814</v>
      </c>
    </row>
    <row customHeight="1" ht="11.25">
      <c r="A48" s="66" t="s">
        <v>3815</v>
      </c>
      <c r="B48" s="66" t="s">
        <v>3816</v>
      </c>
    </row>
    <row customHeight="1" ht="11.25">
      <c r="A49" s="66" t="s">
        <v>3817</v>
      </c>
      <c r="B49" s="66" t="s">
        <v>3818</v>
      </c>
    </row>
    <row customHeight="1" ht="11.25">
      <c r="A50" s="66" t="s">
        <v>3819</v>
      </c>
      <c r="B50" s="66" t="s">
        <v>3820</v>
      </c>
    </row>
    <row customHeight="1" ht="11.25">
      <c r="A51" s="66" t="s">
        <v>3821</v>
      </c>
      <c r="B51" s="66" t="s">
        <v>3822</v>
      </c>
    </row>
    <row customHeight="1" ht="11.25">
      <c r="A52" s="66" t="s">
        <v>3823</v>
      </c>
      <c r="B52" s="66" t="s">
        <v>3824</v>
      </c>
    </row>
    <row customHeight="1" ht="11.25">
      <c r="A53" s="66" t="s">
        <v>3825</v>
      </c>
      <c r="B53" s="66" t="s">
        <v>3826</v>
      </c>
    </row>
    <row customHeight="1" ht="11.25">
      <c r="A54" s="66" t="s">
        <v>3827</v>
      </c>
      <c r="B54" s="66" t="s">
        <v>3828</v>
      </c>
    </row>
    <row customHeight="1" ht="11.25">
      <c r="A55" s="66" t="s">
        <v>3829</v>
      </c>
      <c r="B55" s="66" t="s">
        <v>3830</v>
      </c>
    </row>
    <row customHeight="1" ht="11.25">
      <c r="A56" s="66" t="s">
        <v>3831</v>
      </c>
      <c r="B56" s="66" t="s">
        <v>3832</v>
      </c>
    </row>
    <row customHeight="1" ht="11.25">
      <c r="A57" s="66" t="s">
        <v>3833</v>
      </c>
      <c r="B57" s="66" t="s">
        <v>3834</v>
      </c>
    </row>
    <row customHeight="1" ht="11.25">
      <c r="A58" s="66" t="s">
        <v>3835</v>
      </c>
      <c r="B58" s="66" t="s">
        <v>3836</v>
      </c>
    </row>
    <row customHeight="1" ht="11.25">
      <c r="A59" s="66" t="s">
        <v>3837</v>
      </c>
      <c r="B59" s="66" t="s">
        <v>3838</v>
      </c>
    </row>
    <row customHeight="1" ht="11.25">
      <c r="A60" s="66" t="s">
        <v>3839</v>
      </c>
      <c r="B60" s="66" t="s">
        <v>3840</v>
      </c>
    </row>
    <row customHeight="1" ht="11.25">
      <c r="A61" s="66"/>
      <c r="B61" s="66" t="s">
        <v>3841</v>
      </c>
    </row>
    <row customHeight="1" ht="11.25">
      <c r="A62" s="66"/>
      <c r="B62" s="66" t="s">
        <v>3842</v>
      </c>
    </row>
    <row customHeight="1" ht="11.25">
      <c r="A63" s="66"/>
      <c r="B63" s="66" t="s">
        <v>3843</v>
      </c>
    </row>
    <row customHeight="1" ht="11.25">
      <c r="A64" s="66"/>
      <c r="B64" s="66" t="s">
        <v>3844</v>
      </c>
    </row>
    <row customHeight="1" ht="11.25">
      <c r="A65" s="66"/>
      <c r="B65" s="66" t="s">
        <v>3845</v>
      </c>
    </row>
    <row customHeight="1" ht="11.25">
      <c r="A66" s="66"/>
      <c r="B66" s="66" t="s">
        <v>3846</v>
      </c>
    </row>
    <row customHeight="1" ht="11.25">
      <c r="A67" s="66"/>
      <c r="B67" s="66" t="s">
        <v>3847</v>
      </c>
    </row>
    <row customHeight="1" ht="11.25">
      <c r="A68" s="66"/>
      <c r="B68" s="66" t="s">
        <v>3848</v>
      </c>
    </row>
    <row customHeight="1" ht="11.25">
      <c r="A69" s="66"/>
      <c r="B69" s="66" t="s">
        <v>3849</v>
      </c>
    </row>
    <row customHeight="1" ht="11.25">
      <c r="A70" s="66"/>
      <c r="B70" s="66" t="s">
        <v>3850</v>
      </c>
    </row>
    <row customHeight="1" ht="11.25">
      <c r="A71" s="66"/>
      <c r="B71" s="66"/>
    </row>
    <row customHeight="1" ht="11.25">
      <c r="A72" s="66"/>
      <c r="B72" s="66"/>
    </row>
    <row customHeight="1" ht="11.25">
      <c r="A73" s="66"/>
      <c r="B73" s="66"/>
    </row>
    <row customHeight="1" ht="11.25">
      <c r="A74" s="66"/>
      <c r="B74" s="66"/>
    </row>
    <row customHeight="1" ht="11.25">
      <c r="A75" s="66"/>
      <c r="B75" s="66"/>
    </row>
    <row customHeight="1" ht="11.25">
      <c r="A76" s="66"/>
      <c r="B76" s="66"/>
    </row>
    <row customHeight="1" ht="11.25">
      <c r="A77" s="66"/>
      <c r="B77" s="66"/>
    </row>
    <row customHeight="1" ht="11.25">
      <c r="A78" s="66"/>
      <c r="B78" s="66"/>
    </row>
    <row customHeight="1" ht="11.25">
      <c r="A79" s="66"/>
      <c r="B79" s="66"/>
    </row>
    <row customHeight="1" ht="11.25">
      <c r="A80" s="66"/>
      <c r="B80" s="66"/>
    </row>
    <row customHeight="1" ht="11.25">
      <c r="A81" s="66"/>
      <c r="B81" s="66"/>
    </row>
    <row customHeight="1" ht="11.25">
      <c r="A82" s="66"/>
      <c r="B82" s="66"/>
    </row>
    <row customHeight="1" ht="11.25">
      <c r="A83" s="66"/>
      <c r="B83" s="66"/>
    </row>
    <row customHeight="1" ht="11.25">
      <c r="A84" s="66"/>
      <c r="B84" s="66"/>
    </row>
    <row customHeight="1" ht="11.25">
      <c r="A85" s="66"/>
      <c r="B85" s="66"/>
    </row>
    <row customHeight="1" ht="11.25">
      <c r="A86" s="66"/>
      <c r="B86" s="66"/>
    </row>
    <row customHeight="1" ht="11.25">
      <c r="A87" s="66"/>
      <c r="B87" s="66"/>
    </row>
    <row customHeight="1" ht="11.25">
      <c r="A88" s="66"/>
      <c r="B88" s="66"/>
    </row>
    <row customHeight="1" ht="11.25">
      <c r="A89" s="66"/>
      <c r="B89" s="66"/>
    </row>
    <row customHeight="1" ht="11.25">
      <c r="A90" s="66"/>
      <c r="B90" s="66"/>
    </row>
    <row customHeight="1" ht="11.25">
      <c r="A91" s="66"/>
      <c r="B91" s="66"/>
    </row>
    <row customHeight="1" ht="11.25">
      <c r="A92" s="66"/>
      <c r="B92" s="66"/>
    </row>
    <row customHeight="1" ht="11.25">
      <c r="A93" s="66"/>
      <c r="B93" s="66"/>
    </row>
    <row customHeight="1" ht="11.25">
      <c r="A94" s="66"/>
      <c r="B94" s="66"/>
    </row>
    <row customHeight="1" ht="11.25">
      <c r="A95" s="66"/>
      <c r="B95" s="66"/>
    </row>
    <row customHeight="1" ht="11.25">
      <c r="A96" s="66"/>
      <c r="B96" s="66"/>
    </row>
    <row customHeight="1" ht="11.25">
      <c r="A97" s="66"/>
      <c r="B97" s="66"/>
    </row>
    <row customHeight="1" ht="11.25">
      <c r="A98" s="66"/>
      <c r="B98" s="66"/>
    </row>
    <row customHeight="1" ht="11.25">
      <c r="A99" s="66"/>
      <c r="B99" s="66"/>
    </row>
    <row customHeight="1" ht="11.25">
      <c r="A100" s="66"/>
      <c r="B100" s="66"/>
    </row>
    <row customHeight="1" ht="11.25">
      <c r="A101" s="66"/>
      <c r="B101" s="66"/>
    </row>
    <row customHeight="1" ht="11.25">
      <c r="A102" s="66"/>
      <c r="B102" s="66"/>
    </row>
    <row customHeight="1" ht="11.25">
      <c r="A103" s="66"/>
      <c r="B103" s="66"/>
    </row>
    <row customHeight="1" ht="11.25">
      <c r="A104" s="66"/>
      <c r="B104" s="66"/>
    </row>
    <row customHeight="1" ht="11.25">
      <c r="A105" s="66"/>
      <c r="B105" s="66"/>
    </row>
    <row customHeight="1" ht="11.25">
      <c r="A106" s="66"/>
      <c r="B106" s="66"/>
    </row>
    <row customHeight="1" ht="11.25">
      <c r="A107" s="66"/>
      <c r="B107" s="66"/>
    </row>
    <row customHeight="1" ht="11.25">
      <c r="A108" s="66"/>
      <c r="B108" s="66"/>
    </row>
    <row customHeight="1" ht="11.25">
      <c r="A109" s="66"/>
      <c r="B109" s="66"/>
    </row>
    <row customHeight="1" ht="11.25">
      <c r="A110" s="66"/>
      <c r="B110" s="66"/>
    </row>
    <row customHeight="1" ht="11.25">
      <c r="A111" s="66"/>
      <c r="B111" s="66"/>
    </row>
    <row customHeight="1" ht="11.25">
      <c r="A112" s="66"/>
      <c r="B112" s="66"/>
    </row>
    <row customHeight="1" ht="11.25">
      <c r="A113" s="66"/>
      <c r="B113" s="66"/>
    </row>
    <row customHeight="1" ht="11.25">
      <c r="A114" s="66"/>
      <c r="B114" s="66"/>
    </row>
    <row customHeight="1" ht="11.25">
      <c r="A115" s="66"/>
      <c r="B115" s="66"/>
    </row>
    <row customHeight="1" ht="11.25">
      <c r="A116" s="66"/>
      <c r="B116" s="66"/>
    </row>
    <row customHeight="1" ht="11.25">
      <c r="A117" s="66"/>
      <c r="B117" s="66"/>
    </row>
    <row customHeight="1" ht="11.25">
      <c r="A118" s="66"/>
      <c r="B118" s="66"/>
    </row>
    <row customHeight="1" ht="11.25">
      <c r="A119" s="66"/>
      <c r="B119" s="66"/>
    </row>
    <row customHeight="1" ht="11.25">
      <c r="A120" s="66"/>
      <c r="B120" s="66"/>
    </row>
    <row customHeight="1" ht="11.25">
      <c r="A121" s="66"/>
      <c r="B121" s="66"/>
    </row>
    <row customHeight="1" ht="11.25">
      <c r="A122" s="66"/>
      <c r="B122" s="66"/>
    </row>
    <row customHeight="1" ht="11.25">
      <c r="A123" s="66"/>
      <c r="B123" s="66"/>
    </row>
    <row customHeight="1" ht="11.25">
      <c r="A124" s="66"/>
      <c r="B124" s="66"/>
    </row>
    <row customHeight="1" ht="11.25">
      <c r="A125" s="66"/>
      <c r="B125" s="66"/>
    </row>
    <row customHeight="1" ht="11.25">
      <c r="A126" s="66"/>
      <c r="B126" s="66"/>
    </row>
    <row customHeight="1" ht="11.25">
      <c r="A127" s="66"/>
      <c r="B127" s="66"/>
    </row>
    <row customHeight="1" ht="11.25">
      <c r="A128" s="66"/>
      <c r="B128" s="66"/>
    </row>
    <row customHeight="1" ht="11.25">
      <c r="A129" s="66"/>
      <c r="B129" s="66"/>
    </row>
    <row customHeight="1" ht="11.25">
      <c r="A130" s="66"/>
      <c r="B130" s="66"/>
    </row>
    <row customHeight="1" ht="11.25">
      <c r="A131" s="66"/>
      <c r="B131" s="66"/>
    </row>
    <row customHeight="1" ht="11.25">
      <c r="A132" s="66"/>
      <c r="B132" s="66"/>
    </row>
    <row customHeight="1" ht="11.25">
      <c r="A133" s="66"/>
      <c r="B133" s="66"/>
    </row>
    <row customHeight="1" ht="11.25">
      <c r="A134" s="66"/>
      <c r="B134" s="66"/>
    </row>
    <row customHeight="1" ht="11.25">
      <c r="A135" s="66"/>
      <c r="B135" s="66"/>
    </row>
    <row customHeight="1" ht="11.25">
      <c r="A136" s="66"/>
      <c r="B136" s="66"/>
    </row>
    <row customHeight="1" ht="11.25">
      <c r="A137" s="66"/>
      <c r="B137" s="66"/>
    </row>
    <row customHeight="1" ht="11.25">
      <c r="A138" s="66"/>
      <c r="B138" s="66"/>
    </row>
    <row customHeight="1" ht="11.25">
      <c r="A139" s="66"/>
      <c r="B139" s="66"/>
    </row>
    <row customHeight="1" ht="11.25">
      <c r="A140" s="66"/>
      <c r="B140" s="66"/>
    </row>
    <row customHeight="1" ht="11.25">
      <c r="A141" s="66"/>
      <c r="B141" s="66"/>
    </row>
    <row customHeight="1" ht="11.25">
      <c r="A142" s="66"/>
      <c r="B142" s="66"/>
    </row>
    <row customHeight="1" ht="11.25">
      <c r="A143" s="66"/>
      <c r="B143" s="66"/>
    </row>
    <row customHeight="1" ht="11.25">
      <c r="A144" s="66"/>
      <c r="B144" s="66"/>
    </row>
    <row customHeight="1" ht="11.25">
      <c r="A145" s="66"/>
      <c r="B145" s="66"/>
    </row>
    <row customHeight="1" ht="11.25">
      <c r="A146" s="66"/>
      <c r="B146" s="66"/>
    </row>
    <row customHeight="1" ht="11.25">
      <c r="A147" s="66"/>
      <c r="B147" s="66"/>
    </row>
    <row customHeight="1" ht="11.25">
      <c r="A148" s="66"/>
      <c r="B148" s="66"/>
    </row>
    <row customHeight="1" ht="11.25">
      <c r="A149" s="66"/>
      <c r="B149" s="66"/>
    </row>
    <row customHeight="1" ht="11.25">
      <c r="A150" s="66"/>
      <c r="B150" s="66"/>
    </row>
    <row customHeight="1" ht="11.25">
      <c r="A151" s="66"/>
      <c r="B151" s="66"/>
    </row>
    <row customHeight="1" ht="11.25">
      <c r="A152" s="66"/>
      <c r="B152" s="66"/>
    </row>
    <row customHeight="1" ht="11.25">
      <c r="A153" s="66"/>
      <c r="B153" s="66"/>
    </row>
    <row customHeight="1" ht="11.25">
      <c r="A154" s="66"/>
      <c r="B154" s="66"/>
    </row>
    <row customHeight="1" ht="11.25">
      <c r="A155" s="66"/>
      <c r="B155" s="66"/>
    </row>
    <row customHeight="1" ht="11.25">
      <c r="A156" s="66"/>
      <c r="B156" s="66"/>
    </row>
    <row customHeight="1" ht="11.25">
      <c r="A157" s="66"/>
      <c r="B157" s="66"/>
    </row>
    <row customHeight="1" ht="11.25">
      <c r="A158" s="66"/>
      <c r="B158" s="66"/>
    </row>
    <row customHeight="1" ht="11.25">
      <c r="A159" s="66"/>
      <c r="B159" s="66"/>
    </row>
    <row customHeight="1" ht="11.25">
      <c r="A160" s="66"/>
      <c r="B160" s="66"/>
    </row>
    <row customHeight="1" ht="11.25">
      <c r="A161" s="66"/>
      <c r="B161" s="66"/>
    </row>
    <row customHeight="1" ht="11.25">
      <c r="A162" s="66"/>
      <c r="B162" s="66"/>
    </row>
    <row customHeight="1" ht="11.25">
      <c r="A163" s="66"/>
      <c r="B163" s="66"/>
    </row>
    <row customHeight="1" ht="11.25">
      <c r="A164" s="66"/>
      <c r="B164" s="66"/>
    </row>
    <row customHeight="1" ht="11.25">
      <c r="A165" s="66"/>
      <c r="B165" s="66"/>
    </row>
    <row customHeight="1" ht="11.25">
      <c r="A166" s="66"/>
      <c r="B166" s="66"/>
    </row>
    <row customHeight="1" ht="11.25">
      <c r="A167" s="66"/>
      <c r="B167" s="66"/>
    </row>
    <row customHeight="1" ht="11.25">
      <c r="A168" s="66"/>
      <c r="B168" s="66"/>
    </row>
    <row customHeight="1" ht="11.25">
      <c r="A169" s="66"/>
      <c r="B169" s="66"/>
    </row>
    <row customHeight="1" ht="11.25">
      <c r="A170" s="66"/>
      <c r="B170" s="66"/>
    </row>
    <row customHeight="1" ht="11.25">
      <c r="A171" s="66"/>
      <c r="B171" s="66"/>
    </row>
    <row customHeight="1" ht="11.25">
      <c r="A172" s="66"/>
      <c r="B172" s="66"/>
    </row>
    <row customHeight="1" ht="11.25">
      <c r="A173" s="66"/>
      <c r="B173" s="66"/>
    </row>
    <row customHeight="1" ht="11.25">
      <c r="A174" s="66"/>
      <c r="B174" s="66"/>
    </row>
    <row customHeight="1" ht="11.25">
      <c r="A175" s="66"/>
      <c r="B175" s="66"/>
    </row>
    <row customHeight="1" ht="11.25">
      <c r="A176" s="66"/>
      <c r="B176" s="66"/>
    </row>
    <row customHeight="1" ht="11.25">
      <c r="A177" s="66"/>
      <c r="B177" s="66"/>
    </row>
    <row customHeight="1" ht="11.25">
      <c r="A178" s="66"/>
      <c r="B178" s="66"/>
    </row>
    <row customHeight="1" ht="11.25">
      <c r="A179" s="66"/>
      <c r="B179" s="66"/>
    </row>
    <row customHeight="1" ht="11.25">
      <c r="A180" s="66"/>
      <c r="B180" s="66"/>
    </row>
    <row customHeight="1" ht="11.25">
      <c r="A181" s="66"/>
      <c r="B181" s="66"/>
    </row>
    <row customHeight="1" ht="11.25">
      <c r="A182" s="66"/>
      <c r="B182" s="66"/>
    </row>
    <row customHeight="1" ht="11.25">
      <c r="A183" s="66"/>
      <c r="B183" s="66"/>
    </row>
    <row customHeight="1" ht="11.25">
      <c r="A184" s="66"/>
      <c r="B184" s="66"/>
    </row>
    <row customHeight="1" ht="11.25">
      <c r="A185" s="66"/>
      <c r="B185" s="66"/>
    </row>
    <row customHeight="1" ht="11.25">
      <c r="A186" s="66"/>
      <c r="B186" s="66"/>
    </row>
    <row customHeight="1" ht="11.25">
      <c r="A187" s="66"/>
      <c r="B187" s="66"/>
    </row>
    <row customHeight="1" ht="11.25">
      <c r="A188" s="66"/>
      <c r="B188" s="66"/>
    </row>
    <row customHeight="1" ht="11.25">
      <c r="A189" s="66"/>
      <c r="B189" s="66"/>
    </row>
    <row customHeight="1" ht="11.25">
      <c r="A190" s="66"/>
      <c r="B190" s="66"/>
    </row>
    <row customHeight="1" ht="11.25">
      <c r="A191" s="66"/>
      <c r="B191" s="66"/>
    </row>
    <row customHeight="1" ht="11.25">
      <c r="A192" s="66"/>
      <c r="B192" s="66"/>
    </row>
    <row customHeight="1" ht="11.25">
      <c r="A193" s="66"/>
      <c r="B193" s="66"/>
    </row>
    <row customHeight="1" ht="11.25">
      <c r="A194" s="66"/>
      <c r="B194" s="66"/>
    </row>
    <row customHeight="1" ht="11.25">
      <c r="A195" s="66"/>
      <c r="B195" s="66"/>
    </row>
    <row customHeight="1" ht="11.25">
      <c r="A196" s="66"/>
      <c r="B196" s="66"/>
    </row>
    <row customHeight="1" ht="11.25">
      <c r="A197" s="66"/>
      <c r="B197" s="66"/>
    </row>
    <row customHeight="1" ht="11.25">
      <c r="A198" s="66"/>
      <c r="B198" s="66"/>
    </row>
    <row customHeight="1" ht="11.25">
      <c r="A199" s="66"/>
      <c r="B199" s="66"/>
    </row>
    <row customHeight="1" ht="11.25">
      <c r="A200" s="66"/>
      <c r="B200" s="66"/>
    </row>
    <row customHeight="1" ht="11.25">
      <c r="A201" s="66"/>
      <c r="B201" s="66"/>
    </row>
    <row customHeight="1" ht="11.25">
      <c r="A202" s="66"/>
      <c r="B202" s="66"/>
    </row>
    <row customHeight="1" ht="11.25">
      <c r="A203" s="66"/>
      <c r="B203" s="66"/>
    </row>
    <row customHeight="1" ht="11.25">
      <c r="A204" s="66"/>
      <c r="B204" s="66"/>
    </row>
    <row customHeight="1" ht="11.25">
      <c r="A205" s="66"/>
      <c r="B205" s="66"/>
    </row>
    <row customHeight="1" ht="11.25">
      <c r="A206" s="66"/>
      <c r="B206" s="66"/>
    </row>
    <row customHeight="1" ht="11.25">
      <c r="A207" s="66"/>
      <c r="B207" s="66"/>
    </row>
    <row customHeight="1" ht="11.25">
      <c r="A208" s="66"/>
      <c r="B208" s="66"/>
    </row>
    <row customHeight="1" ht="11.25">
      <c r="A209" s="66"/>
      <c r="B209" s="66"/>
    </row>
    <row customHeight="1" ht="11.25">
      <c r="A210" s="66"/>
      <c r="B210" s="66"/>
    </row>
    <row customHeight="1" ht="11.25">
      <c r="A211" s="66"/>
      <c r="B211" s="66"/>
    </row>
    <row customHeight="1" ht="11.25">
      <c r="A212" s="66"/>
      <c r="B212" s="66"/>
    </row>
    <row customHeight="1" ht="11.25">
      <c r="A213" s="66"/>
      <c r="B213" s="66"/>
    </row>
    <row customHeight="1" ht="11.25">
      <c r="A214" s="66"/>
      <c r="B214" s="66"/>
    </row>
    <row customHeight="1" ht="11.25">
      <c r="A215" s="66"/>
      <c r="B215" s="66"/>
    </row>
    <row customHeight="1" ht="11.25">
      <c r="A216" s="66"/>
      <c r="B216" s="66"/>
    </row>
    <row customHeight="1" ht="11.25">
      <c r="A217" s="66"/>
      <c r="B217" s="66"/>
    </row>
    <row customHeight="1" ht="11.25">
      <c r="A218" s="66"/>
      <c r="B218" s="66"/>
    </row>
    <row customHeight="1" ht="11.25">
      <c r="A219" s="66"/>
      <c r="B219" s="66"/>
    </row>
    <row customHeight="1" ht="11.25">
      <c r="A220" s="66"/>
      <c r="B220" s="66"/>
    </row>
    <row customHeight="1" ht="11.25">
      <c r="A221" s="66"/>
      <c r="B221" s="66"/>
    </row>
    <row customHeight="1" ht="11.25">
      <c r="A222" s="66"/>
      <c r="B222" s="66"/>
    </row>
    <row customHeight="1" ht="11.25">
      <c r="A223" s="66"/>
      <c r="B223" s="66"/>
    </row>
    <row customHeight="1" ht="11.25">
      <c r="A224" s="66"/>
      <c r="B224" s="66"/>
    </row>
    <row customHeight="1" ht="11.25">
      <c r="A225" s="66"/>
      <c r="B225" s="66"/>
    </row>
    <row customHeight="1" ht="11.25">
      <c r="A226" s="66"/>
      <c r="B226" s="66"/>
    </row>
    <row customHeight="1" ht="11.25">
      <c r="A227" s="66"/>
      <c r="B227" s="66"/>
    </row>
    <row customHeight="1" ht="11.25">
      <c r="A228" s="66"/>
      <c r="B228" s="66"/>
    </row>
    <row customHeight="1" ht="11.25">
      <c r="A229" s="66"/>
      <c r="B229" s="66"/>
    </row>
    <row customHeight="1" ht="11.25">
      <c r="A230" s="66"/>
      <c r="B230" s="66"/>
    </row>
    <row customHeight="1" ht="11.25">
      <c r="A231" s="66"/>
      <c r="B231" s="66"/>
    </row>
    <row customHeight="1" ht="11.25">
      <c r="A232" s="66"/>
      <c r="B232" s="66"/>
    </row>
    <row customHeight="1" ht="11.25">
      <c r="A233" s="66"/>
      <c r="B233" s="66"/>
    </row>
    <row customHeight="1" ht="11.25">
      <c r="A234" s="66"/>
      <c r="B234" s="66"/>
    </row>
    <row customHeight="1" ht="11.25">
      <c r="A235" s="66"/>
      <c r="B235" s="66"/>
    </row>
    <row customHeight="1" ht="11.25">
      <c r="A236" s="66"/>
      <c r="B236" s="66"/>
    </row>
    <row customHeight="1" ht="11.25">
      <c r="A237" s="66"/>
      <c r="B237" s="66"/>
    </row>
    <row customHeight="1" ht="11.25">
      <c r="A238" s="66"/>
      <c r="B238" s="66"/>
    </row>
    <row customHeight="1" ht="11.25">
      <c r="A239" s="66"/>
      <c r="B239" s="66"/>
    </row>
    <row customHeight="1" ht="11.25">
      <c r="A240" s="66"/>
      <c r="B240" s="66"/>
    </row>
    <row customHeight="1" ht="11.25">
      <c r="A241" s="66"/>
      <c r="B241" s="66"/>
    </row>
    <row customHeight="1" ht="11.25">
      <c r="A242" s="66"/>
      <c r="B242" s="66"/>
    </row>
    <row customHeight="1" ht="11.25">
      <c r="A243" s="66"/>
      <c r="B243" s="66"/>
    </row>
    <row customHeight="1" ht="11.25">
      <c r="A244" s="66"/>
      <c r="B244" s="66"/>
    </row>
    <row customHeight="1" ht="11.25">
      <c r="A245" s="66"/>
      <c r="B245" s="66"/>
    </row>
    <row customHeight="1" ht="11.25">
      <c r="A246" s="66"/>
      <c r="B246" s="66"/>
    </row>
    <row customHeight="1" ht="11.25">
      <c r="A247" s="66"/>
      <c r="B247" s="66"/>
    </row>
    <row customHeight="1" ht="11.25">
      <c r="A248" s="66"/>
      <c r="B248" s="66"/>
    </row>
    <row customHeight="1" ht="11.25">
      <c r="A249" s="66"/>
      <c r="B249" s="66"/>
    </row>
    <row customHeight="1" ht="11.25">
      <c r="A250" s="66"/>
      <c r="B250" s="66"/>
    </row>
    <row customHeight="1" ht="11.25">
      <c r="A251" s="66"/>
      <c r="B251" s="66"/>
    </row>
    <row customHeight="1" ht="11.25">
      <c r="A252" s="66"/>
      <c r="B252" s="66"/>
    </row>
    <row customHeight="1" ht="11.25">
      <c r="A253" s="66"/>
      <c r="B253" s="66"/>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CA58E8-9A26-2755-847F-6A5B9F544B6C}"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2" width="3.7109375" customWidth="1"/>
    <col min="2" max="2" style="1852" width="90.7109375" customWidth="1"/>
    <col min="3" max="4" style="1852" width="9.140625"/>
  </cols>
  <sheetData>
    <row customHeight="1" ht="11.25">
      <c r="B1" s="95" t="s">
        <v>3851</v>
      </c>
    </row>
    <row customHeight="1" ht="90">
      <c r="B2" s="96" t="s">
        <v>3852</v>
      </c>
    </row>
    <row customHeight="1" ht="67.5">
      <c r="B3" s="96" t="s">
        <v>3853</v>
      </c>
    </row>
    <row customHeight="1" ht="33.75">
      <c r="B4" s="96" t="s">
        <v>3854</v>
      </c>
    </row>
    <row customHeight="1" ht="11.25">
      <c r="B5" s="96" t="s">
        <v>3855</v>
      </c>
    </row>
    <row customHeight="1" ht="22.5">
      <c r="B6" s="96" t="s">
        <v>3856</v>
      </c>
    </row>
    <row customHeight="1" ht="22.5">
      <c r="B7" s="96" t="s">
        <v>3857</v>
      </c>
    </row>
    <row customHeight="1" ht="22.5">
      <c r="B8" s="96" t="s">
        <v>3858</v>
      </c>
    </row>
    <row customHeight="1" ht="22.5">
      <c r="B9" s="96" t="s">
        <v>3859</v>
      </c>
    </row>
    <row customHeight="1" ht="56.25">
      <c r="B10" s="96" t="s">
        <v>3860</v>
      </c>
    </row>
    <row customHeight="1" ht="12.75">
      <c r="B11" s="161" t="s">
        <v>3861</v>
      </c>
    </row>
    <row customHeight="1" ht="11.25">
      <c r="B12" s="95" t="s">
        <v>3862</v>
      </c>
    </row>
    <row customHeight="1" ht="22.5">
      <c r="B13" s="96" t="s">
        <v>3863</v>
      </c>
    </row>
    <row customHeight="1" ht="67.5">
      <c r="B14" s="96" t="s">
        <v>3864</v>
      </c>
    </row>
    <row customHeight="1" ht="22.5">
      <c r="B15" s="96" t="s">
        <v>3865</v>
      </c>
    </row>
    <row customHeight="1" ht="11.25">
      <c r="B16" s="95" t="s">
        <v>3866</v>
      </c>
      <c r="D16" s="102"/>
    </row>
    <row customHeight="1" ht="33.75">
      <c r="B17" s="96" t="s">
        <v>3867</v>
      </c>
    </row>
    <row customHeight="1" ht="33.75">
      <c r="B18" s="96" t="s">
        <v>3868</v>
      </c>
    </row>
    <row customHeight="1" ht="11.25">
      <c r="B19" s="96" t="s">
        <v>3869</v>
      </c>
    </row>
    <row customHeight="1" ht="33.75">
      <c r="B20" s="96" t="s">
        <v>3870</v>
      </c>
    </row>
    <row customHeight="1" ht="11.25">
      <c r="B21" s="95" t="s">
        <v>3871</v>
      </c>
    </row>
    <row customHeight="1" ht="11.25">
      <c r="B22" s="96" t="s">
        <v>3872</v>
      </c>
    </row>
    <row r="24" customHeight="1" ht="22.5">
      <c r="B24" s="163" t="s">
        <v>3873</v>
      </c>
    </row>
    <row r="26" customHeight="1" ht="11.25">
      <c r="B26" s="95" t="s">
        <v>3874</v>
      </c>
    </row>
    <row customHeight="1" ht="22.5">
      <c r="B27" s="162" t="s">
        <v>396</v>
      </c>
    </row>
    <row customHeight="1" ht="56.25">
      <c r="B28" s="162" t="s">
        <v>3875</v>
      </c>
    </row>
    <row customHeight="1" ht="11.25">
      <c r="B29" s="212" t="s">
        <v>3876</v>
      </c>
    </row>
    <row customHeight="1" ht="22.5">
      <c r="B30" s="162" t="s">
        <v>3877</v>
      </c>
    </row>
    <row r="32" customHeight="1" ht="11.25">
      <c r="A32" s="190"/>
      <c r="B32" s="191" t="s">
        <v>3878</v>
      </c>
    </row>
    <row customHeight="1" ht="14.25">
      <c r="A33" s="192">
        <v>1</v>
      </c>
      <c r="B33" s="193" t="s">
        <v>3879</v>
      </c>
    </row>
    <row customHeight="1" ht="14.25">
      <c r="A34" s="192">
        <v>2</v>
      </c>
      <c r="B34" s="193" t="s">
        <v>3880</v>
      </c>
    </row>
    <row customHeight="1" ht="11.25">
      <c r="B35" s="191" t="s">
        <v>3881</v>
      </c>
    </row>
    <row customHeight="1" ht="11.25">
      <c r="B36" s="193" t="s">
        <v>3882</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860CB4-49ED-36A7-892D-ADF7B25F3804}"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38.00390625" customWidth="1"/>
    <col min="6" max="7" style="1637" width="3.00390625" customWidth="1"/>
    <col min="8" max="8" style="1637" width="38.00390625" customWidth="1"/>
    <col min="9" max="9" style="1637" width="35.00390625" customWidth="1"/>
    <col min="10" max="10" style="1637" width="103.00390625" customWidth="1"/>
    <col min="11" max="11" style="1821" width="3.00390625" customWidth="1"/>
    <col min="12" max="14" style="1644" width="10.00390625" customWidth="1"/>
    <col min="15" max="15" style="1644" width="13.00390625" customWidth="1"/>
    <col min="16" max="16" style="1644" width="15.00390625" customWidth="1"/>
    <col min="17" max="17" style="1644" width="16.00390625" customWidth="1"/>
    <col min="18" max="21" style="1644" width="10.00390625" customWidth="1"/>
    <col min="22" max="22" style="1637" width="10.57421875" hidden="1"/>
  </cols>
  <sheetData>
    <row customHeight="1" ht="22.5" hidden="1">
      <c r="E1" s="414"/>
      <c r="F1" s="414"/>
      <c r="G1" s="414"/>
      <c r="H1" s="2219" t="s">
        <v>352</v>
      </c>
      <c r="I1" s="2219"/>
      <c r="V1" s="1609" t="s">
        <v>14</v>
      </c>
    </row>
    <row s="1637" customFormat="1" customHeight="1" ht="14.25" hidden="1">
      <c r="C2" s="1621"/>
      <c r="D2" s="2235" t="s">
        <v>109</v>
      </c>
      <c r="E2" s="2237"/>
      <c r="F2" s="1627"/>
      <c r="G2" s="1622" t="s">
        <v>109</v>
      </c>
      <c r="H2" s="1625"/>
      <c r="I2" s="1623"/>
      <c r="L2" s="1624"/>
      <c r="M2" s="1624"/>
      <c r="N2" s="1624"/>
      <c r="O2" s="1624" t="s">
        <v>382</v>
      </c>
      <c r="P2" s="1624"/>
      <c r="Q2" s="1624"/>
      <c r="R2" s="1626" t="s">
        <v>381</v>
      </c>
      <c r="S2" s="1626" t="s">
        <v>381</v>
      </c>
      <c r="T2" s="1624"/>
      <c r="U2" s="1624"/>
      <c r="V2" s="1620">
        <v>0</v>
      </c>
    </row>
    <row s="1637" customFormat="1" customHeight="1" ht="14.25" hidden="1">
      <c r="C3" s="1621"/>
      <c r="D3" s="2236"/>
      <c r="E3" s="2238"/>
      <c r="F3" s="407"/>
      <c r="G3" s="871"/>
      <c r="H3" s="871" t="s">
        <v>383</v>
      </c>
      <c r="I3" s="315"/>
      <c r="L3" s="1624"/>
      <c r="M3" s="1624"/>
      <c r="N3" s="1624"/>
      <c r="O3" s="1624"/>
      <c r="P3" s="1624"/>
      <c r="Q3" s="1624"/>
      <c r="R3" s="1626"/>
      <c r="S3" s="1626"/>
      <c r="T3" s="1624"/>
      <c r="U3" s="1624"/>
      <c r="V3" s="1620">
        <v>0</v>
      </c>
    </row>
    <row customHeight="1" ht="14.25" hidden="1">
      <c r="V4" s="1609">
        <v>0</v>
      </c>
    </row>
    <row s="1615" customFormat="1" customHeight="1" ht="5.25">
      <c r="C5" s="703"/>
      <c r="D5" s="704"/>
      <c r="E5" s="704"/>
      <c r="F5" s="704"/>
      <c r="G5" s="704"/>
      <c r="H5" s="704" t="s">
        <v>356</v>
      </c>
      <c r="I5" s="704"/>
      <c r="J5" s="704"/>
      <c r="L5" s="1616"/>
      <c r="M5" s="1616"/>
      <c r="N5" s="1616"/>
      <c r="O5" s="1616"/>
      <c r="P5" s="1616"/>
      <c r="Q5" s="1616"/>
      <c r="R5" s="1616"/>
      <c r="S5" s="1616"/>
      <c r="T5" s="1616"/>
      <c r="U5" s="1616"/>
      <c r="V5" s="1615">
        <v>5</v>
      </c>
    </row>
    <row customHeight="1" ht="29.25">
      <c r="C6" s="1518"/>
      <c r="D6" s="2239" t="s">
        <v>384</v>
      </c>
      <c r="E6" s="2239"/>
      <c r="F6" s="2239"/>
      <c r="G6" s="2239"/>
      <c r="H6" s="2239"/>
      <c r="I6" s="2239"/>
      <c r="J6" s="493"/>
      <c r="K6" s="1617"/>
      <c r="V6" s="1609">
        <v>28</v>
      </c>
    </row>
    <row customHeight="1" ht="18">
      <c r="C7" s="1518"/>
      <c r="D7" s="2178" t="str">
        <f>IF(org=0,"Не определено",org)</f>
        <v>ПАО "ТГК-2"</v>
      </c>
      <c r="E7" s="2178"/>
      <c r="F7" s="2178"/>
      <c r="G7" s="2178"/>
      <c r="H7" s="2178"/>
      <c r="I7" s="2178"/>
      <c r="J7" s="493"/>
      <c r="K7" s="1617"/>
      <c r="V7" s="1609">
        <v>17</v>
      </c>
    </row>
    <row s="1614" customFormat="1" customHeight="1" ht="5.25">
      <c r="A8" s="1613"/>
      <c r="C8" s="488"/>
      <c r="D8" s="487"/>
      <c r="E8" s="487"/>
      <c r="F8" s="487"/>
      <c r="G8" s="487"/>
      <c r="H8" s="487"/>
      <c r="I8" s="487"/>
      <c r="J8" s="487"/>
      <c r="L8" s="1616"/>
      <c r="M8" s="1616"/>
      <c r="N8" s="1616"/>
      <c r="O8" s="1616"/>
      <c r="P8" s="1616"/>
      <c r="Q8" s="1616"/>
      <c r="R8" s="1616"/>
      <c r="S8" s="1616"/>
      <c r="T8" s="1616"/>
      <c r="U8" s="1616"/>
      <c r="V8" s="1614">
        <v>5</v>
      </c>
    </row>
    <row s="1614" customFormat="1" customHeight="1" ht="5.25">
      <c r="A9" s="1613"/>
      <c r="C9" s="488"/>
      <c r="D9" s="487"/>
      <c r="E9" s="487"/>
      <c r="F9" s="487"/>
      <c r="G9" s="487"/>
      <c r="H9" s="487"/>
      <c r="I9" s="487"/>
      <c r="J9" s="487"/>
      <c r="L9" s="1624"/>
      <c r="M9" s="1624"/>
      <c r="N9" s="1624"/>
      <c r="O9" s="1624"/>
      <c r="P9" s="1624"/>
      <c r="Q9" s="1624"/>
      <c r="R9" s="1624"/>
      <c r="S9" s="1624"/>
      <c r="T9" s="1624"/>
      <c r="U9" s="1624"/>
      <c r="V9" s="1614">
        <v>5</v>
      </c>
    </row>
    <row customHeight="1" ht="14.699999999999998">
      <c r="C10" s="1518"/>
      <c r="D10" s="2220" t="s">
        <v>300</v>
      </c>
      <c r="E10" s="2221"/>
      <c r="F10" s="2221"/>
      <c r="G10" s="2221"/>
      <c r="H10" s="2221"/>
      <c r="I10" s="2221"/>
      <c r="J10" s="2225" t="s">
        <v>301</v>
      </c>
      <c r="V10" s="1609">
        <v>14</v>
      </c>
    </row>
    <row customHeight="1" ht="27.299999999999997">
      <c r="C11" s="1518"/>
      <c r="D11" s="2129" t="s">
        <v>88</v>
      </c>
      <c r="E11" s="2225" t="s">
        <v>105</v>
      </c>
      <c r="F11" s="2194" t="s">
        <v>88</v>
      </c>
      <c r="G11" s="2195"/>
      <c r="H11" s="2177" t="s">
        <v>385</v>
      </c>
      <c r="I11" s="2177" t="s">
        <v>386</v>
      </c>
      <c r="J11" s="2225"/>
      <c r="V11" s="1609">
        <v>26</v>
      </c>
    </row>
    <row customHeight="1" ht="14.699999999999998">
      <c r="C12" s="1518"/>
      <c r="D12" s="2129"/>
      <c r="E12" s="2225"/>
      <c r="F12" s="2202"/>
      <c r="G12" s="2203"/>
      <c r="H12" s="2234"/>
      <c r="I12" s="2234"/>
      <c r="J12" s="2225"/>
      <c r="V12" s="1609">
        <v>14</v>
      </c>
    </row>
    <row s="1643" customFormat="1" customHeight="1" ht="11.25" hidden="1">
      <c r="C13" s="500"/>
      <c r="D13" s="501" t="s">
        <v>376</v>
      </c>
      <c r="E13" s="501"/>
      <c r="F13" s="501"/>
      <c r="G13" s="501"/>
      <c r="H13" s="499"/>
      <c r="I13" s="499"/>
      <c r="J13" s="437"/>
      <c r="L13" s="1616"/>
      <c r="M13" s="1616"/>
      <c r="N13" s="1616"/>
      <c r="O13" s="1616"/>
      <c r="P13" s="1616"/>
      <c r="Q13" s="1616"/>
      <c r="R13" s="1616"/>
      <c r="S13" s="1616"/>
      <c r="T13" s="1616"/>
      <c r="U13" s="1616"/>
      <c r="V13" s="498">
        <v>0</v>
      </c>
    </row>
    <row customHeight="1" ht="14.699999999999998">
      <c r="A14" s="1609"/>
      <c r="C14" s="1518"/>
      <c r="D14" s="2235" t="s">
        <v>109</v>
      </c>
      <c r="E14" s="2237"/>
      <c r="F14" s="1619"/>
      <c r="G14" s="1618" t="s">
        <v>109</v>
      </c>
      <c r="H14" s="1625"/>
      <c r="I14" s="1623"/>
      <c r="J14" s="2171" t="s">
        <v>387</v>
      </c>
      <c r="K14" s="1609"/>
      <c r="R14" s="502" t="s">
        <v>381</v>
      </c>
      <c r="S14" s="502" t="s">
        <v>381</v>
      </c>
      <c r="V14" s="1609">
        <v>14</v>
      </c>
    </row>
    <row customHeight="1" ht="14.699999999999998">
      <c r="A15" s="1609"/>
      <c r="C15" s="1518"/>
      <c r="D15" s="2236"/>
      <c r="E15" s="2238"/>
      <c r="F15" s="407"/>
      <c r="G15" s="871"/>
      <c r="H15" s="871" t="s">
        <v>383</v>
      </c>
      <c r="I15" s="315"/>
      <c r="J15" s="2172"/>
      <c r="K15" s="1609"/>
      <c r="R15" s="502"/>
      <c r="S15" s="502"/>
      <c r="V15" s="1609">
        <v>14</v>
      </c>
    </row>
    <row customHeight="1" ht="14.699999999999998">
      <c r="A16" s="1609"/>
      <c r="C16" s="1518"/>
      <c r="D16" s="407"/>
      <c r="E16" s="871" t="s">
        <v>123</v>
      </c>
      <c r="F16" s="315"/>
      <c r="G16" s="315"/>
      <c r="H16" s="408"/>
      <c r="I16" s="408"/>
      <c r="J16" s="2173"/>
      <c r="K16" s="1609"/>
      <c r="V16" s="1609">
        <v>14</v>
      </c>
    </row>
    <row customHeight="1" ht="14.699999999999998">
      <c r="K17" s="1609"/>
      <c r="V17" s="1609">
        <v>14</v>
      </c>
    </row>
    <row customHeight="1" ht="22.5" hidden="1">
      <c r="A18" s="1610" t="s">
        <v>82</v>
      </c>
      <c r="B18" s="1609">
        <v>0</v>
      </c>
      <c r="C18" s="453">
        <v>3</v>
      </c>
      <c r="D18" s="1609">
        <v>5</v>
      </c>
      <c r="E18" s="1609">
        <v>38</v>
      </c>
      <c r="F18" s="1609">
        <v>3</v>
      </c>
      <c r="G18" s="1609">
        <v>3</v>
      </c>
      <c r="H18" s="1609">
        <v>38</v>
      </c>
      <c r="I18" s="1609">
        <v>35</v>
      </c>
      <c r="J18" s="1609">
        <v>103</v>
      </c>
      <c r="K18" s="1611">
        <v>3</v>
      </c>
      <c r="L18" s="1616">
        <v>10</v>
      </c>
      <c r="M18" s="1616">
        <v>10</v>
      </c>
      <c r="N18" s="1616">
        <v>10</v>
      </c>
      <c r="O18" s="1616">
        <v>13</v>
      </c>
      <c r="P18" s="1616">
        <v>15</v>
      </c>
      <c r="Q18" s="1616">
        <v>16</v>
      </c>
      <c r="R18" s="1616">
        <v>10</v>
      </c>
      <c r="S18" s="1616">
        <v>10</v>
      </c>
      <c r="T18" s="1616">
        <v>10</v>
      </c>
      <c r="U18" s="1616">
        <v>10</v>
      </c>
      <c r="V18" s="1609">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